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3770" windowHeight="12030" tabRatio="919" firstSheet="29" activeTab="37"/>
  </bookViews>
  <sheets>
    <sheet name="Índice" sheetId="1" r:id="rId1"/>
    <sheet name="demanda bach" sheetId="2" r:id="rId2"/>
    <sheet name="demanda lic" sheetId="3" r:id="rId3"/>
    <sheet name="pobl escolar" sheetId="4" r:id="rId4"/>
    <sheet name="pobl posgr" sheetId="5" r:id="rId5"/>
    <sheet name="pobl lic" sheetId="6" r:id="rId6"/>
    <sheet name="pobl bach" sheetId="7" r:id="rId7"/>
    <sheet name="pobl SUAyED" sheetId="8" r:id="rId8"/>
    <sheet name="egresados" sheetId="9" r:id="rId9"/>
    <sheet name="titulación" sheetId="10" r:id="rId10"/>
    <sheet name="planes est" sheetId="11" r:id="rId11"/>
    <sheet name="posgr SNP" sheetId="12" r:id="rId12"/>
    <sheet name="becarios prog" sheetId="13" r:id="rId13"/>
    <sheet name="becarios nivel" sheetId="14" r:id="rId14"/>
    <sheet name="sist incor" sheetId="15" r:id="rId15"/>
    <sheet name="educ cont" sheetId="16" r:id="rId16"/>
    <sheet name="crai cepe" sheetId="17" r:id="rId17"/>
    <sheet name="serv social" sheetId="18" r:id="rId18"/>
    <sheet name="pers acad" sheetId="19" r:id="rId19"/>
    <sheet name="pers acad TC" sheetId="20" r:id="rId20"/>
    <sheet name="nombr pa" sheetId="21" r:id="rId21"/>
    <sheet name="pa sedes fora" sheetId="22" r:id="rId22"/>
    <sheet name="rec y estímulos pa" sheetId="23" r:id="rId23"/>
    <sheet name="actual y sup pa" sheetId="24" r:id="rId24"/>
    <sheet name="formación pa" sheetId="25" r:id="rId25"/>
    <sheet name="apoyos pi" sheetId="26" r:id="rId26"/>
    <sheet name="becas posdoc" sheetId="27" r:id="rId27"/>
    <sheet name="SNI" sheetId="28" r:id="rId28"/>
    <sheet name="SNI nivel " sheetId="29" r:id="rId29"/>
    <sheet name="productos Inv" sheetId="30" r:id="rId30"/>
    <sheet name="tesis inv" sheetId="31" r:id="rId31"/>
    <sheet name="ISI" sheetId="32" r:id="rId32"/>
    <sheet name="act sub dif cult" sheetId="33" r:id="rId33"/>
    <sheet name="asis sub dif cult" sheetId="34" r:id="rId34"/>
    <sheet name="func CCU" sheetId="35" r:id="rId35"/>
    <sheet name="asist CCU" sheetId="36" r:id="rId36"/>
    <sheet name="acerv esp" sheetId="37" r:id="rId37"/>
    <sheet name="prod edit" sheetId="38" r:id="rId38"/>
    <sheet name="serv biblio" sheetId="39" r:id="rId39"/>
    <sheet name="serv cómputo" sheetId="40" r:id="rId40"/>
    <sheet name="área const" sheetId="41" r:id="rId41"/>
    <sheet name="presupuesto" sheetId="42" r:id="rId42"/>
    <sheet name="gasto alumno" sheetId="43" r:id="rId43"/>
    <sheet name="población 1924-1969" sheetId="44" r:id="rId44"/>
    <sheet name="población 1970-2023" sheetId="45" r:id="rId45"/>
    <sheet name="población 1987-2023" sheetId="46" r:id="rId46"/>
    <sheet name="poblacion bach 1924-2024" sheetId="47" r:id="rId47"/>
    <sheet name="pi 1924-2023" sheetId="48" r:id="rId48"/>
    <sheet name="titulación 1924-2022" sheetId="49" r:id="rId49"/>
    <sheet name="tit dip exagra 1924-2022" sheetId="50" r:id="rId50"/>
    <sheet name="demanda 1975-2023" sheetId="51" r:id="rId51"/>
  </sheets>
  <definedNames>
    <definedName name="_xlnm.Print_Area" localSheetId="13">'becarios nivel'!$A$1:$Y$16</definedName>
    <definedName name="_xlnm.Print_Area" localSheetId="12">'becarios prog'!$A$1:$Y$82</definedName>
    <definedName name="_xlnm.Print_Area" localSheetId="15">'educ cont'!$A$1:$Y$20</definedName>
    <definedName name="_xlnm.Print_Area" localSheetId="42">'gasto alumno'!$A$1:$W$27</definedName>
    <definedName name="_xlnm.Print_Area" localSheetId="31">'ISI'!$A$1:$W$16</definedName>
    <definedName name="_xlnm.Print_Area" localSheetId="29">'productos Inv'!$A$1:$X$30</definedName>
    <definedName name="_xlnm.Print_Area" localSheetId="38">'serv biblio'!$A$1:$X$55</definedName>
    <definedName name="_xlnm.Print_Area" localSheetId="14">'sist incor'!$A$1:$Y$21</definedName>
    <definedName name="_xlnm.Print_Area" localSheetId="27">'SNI'!$A$1:$Z$22</definedName>
    <definedName name="_xlnm.Print_Area" localSheetId="30">'tesis inv'!$A$1:$W$25</definedName>
    <definedName name="DATABASE" localSheetId="50">'demanda 1975-2023'!$A$7:$F$25</definedName>
  </definedNames>
  <calcPr fullCalcOnLoad="1"/>
</workbook>
</file>

<file path=xl/sharedStrings.xml><?xml version="1.0" encoding="utf-8"?>
<sst xmlns="http://schemas.openxmlformats.org/spreadsheetml/2006/main" count="5169" uniqueCount="884">
  <si>
    <t>UNAM. Demanda e ingreso al bachillerato</t>
  </si>
  <si>
    <t>UNAM. Demanda e ingreso a la licenciatura</t>
  </si>
  <si>
    <t>UNAM. Población escolar</t>
  </si>
  <si>
    <t>UNAM. Población escolar de posgrado</t>
  </si>
  <si>
    <t>UNAM. Población escolar de licenciatura</t>
  </si>
  <si>
    <t>UNAM. Población escolar de bachillerato</t>
  </si>
  <si>
    <t>UNAM. Población escolar del Sistema Universidad Abierta y Educación a Distancia</t>
  </si>
  <si>
    <t>UNAM. Egresados</t>
  </si>
  <si>
    <t>UNAM. Sistema incorporado</t>
  </si>
  <si>
    <t>UNAM. Educación continua</t>
  </si>
  <si>
    <t>UNAM. Servicio social</t>
  </si>
  <si>
    <t>UNAM. Personal académico</t>
  </si>
  <si>
    <t>UNAM. Personal académico de carrera de tiempo completo</t>
  </si>
  <si>
    <t>UNAM. Nombramientos del personal académico por subsistema y figura académica</t>
  </si>
  <si>
    <t>UNAM. Personal académico en sedes foráneas</t>
  </si>
  <si>
    <t>UNAM. Programas de apoyo al personal académico. Reconocimientos y estímulos a la docencia e investigación</t>
  </si>
  <si>
    <t>UNAM. Programas de apoyo al personal académico. Actualización y superación docente</t>
  </si>
  <si>
    <t>UNAM. Programas de apoyo al personal académico. Apoyos para la formación del personal académico</t>
  </si>
  <si>
    <t>UNAM. Programas de apoyo al personal académico. Apoyos a proyectos de investigación</t>
  </si>
  <si>
    <t>UNAM. Becarios posdoctorales</t>
  </si>
  <si>
    <t>UNAM. Productos de investigación</t>
  </si>
  <si>
    <t>UNAM. Actividades en los recintos y espacios del subsistema de difusión cultural</t>
  </si>
  <si>
    <t>UNAM. Asistencia a actividades en recintos y espacios del subsistema de difusión cultural</t>
  </si>
  <si>
    <t>UNAM. Funciones en los recintos del Centro Cultural Universitario</t>
  </si>
  <si>
    <t>UNAM. Asistencia a funciones en los recintos del Centro Cultural Universitario</t>
  </si>
  <si>
    <t>UNAM. Acervos especializados del subsistema de difusión cultural</t>
  </si>
  <si>
    <t>UNAM. Producción editorial</t>
  </si>
  <si>
    <t>UNAM. Servicios bibliotecarios</t>
  </si>
  <si>
    <t>UNAM. Cómputo, Internet y red digital</t>
  </si>
  <si>
    <t>UNAM. Presupuesto de egresos</t>
  </si>
  <si>
    <t>UNAM. Gasto por alumno</t>
  </si>
  <si>
    <t>I</t>
  </si>
  <si>
    <t>UNAM. Población escolar de 1924 a 1969</t>
  </si>
  <si>
    <t>II</t>
  </si>
  <si>
    <t>III</t>
  </si>
  <si>
    <t>IV</t>
  </si>
  <si>
    <t>V</t>
  </si>
  <si>
    <t>VI</t>
  </si>
  <si>
    <t>VII</t>
  </si>
  <si>
    <t>CUADRO 1</t>
  </si>
  <si>
    <t>1999-2000</t>
  </si>
  <si>
    <t>2000-2001</t>
  </si>
  <si>
    <t>2001-2002</t>
  </si>
  <si>
    <t>2002-2003</t>
  </si>
  <si>
    <t>2003-2004</t>
  </si>
  <si>
    <t>2004-2005</t>
  </si>
  <si>
    <t>2005-2006</t>
  </si>
  <si>
    <t>2006-2007</t>
  </si>
  <si>
    <t>2007-2008</t>
  </si>
  <si>
    <t>2008-2009</t>
  </si>
  <si>
    <t>2009-2010</t>
  </si>
  <si>
    <t>2010-2011</t>
  </si>
  <si>
    <t>2011-2012</t>
  </si>
  <si>
    <t>2012-2013</t>
  </si>
  <si>
    <t>2013-2014</t>
  </si>
  <si>
    <t>2014-2015</t>
  </si>
  <si>
    <r>
      <t>Demanda</t>
    </r>
    <r>
      <rPr>
        <vertAlign val="superscript"/>
        <sz val="10"/>
        <rFont val="Arial"/>
        <family val="2"/>
      </rPr>
      <t>a</t>
    </r>
  </si>
  <si>
    <r>
      <t>Demanda atendida</t>
    </r>
    <r>
      <rPr>
        <vertAlign val="superscript"/>
        <sz val="10"/>
        <rFont val="Arial"/>
        <family val="2"/>
      </rPr>
      <t>b</t>
    </r>
  </si>
  <si>
    <r>
      <t>a</t>
    </r>
    <r>
      <rPr>
        <sz val="8"/>
        <rFont val="Arial"/>
        <family val="2"/>
      </rPr>
      <t xml:space="preserve"> Aspirantes que se registran al concurso de selección.</t>
    </r>
  </si>
  <si>
    <t>Fuente: DGAE, UNAM.</t>
  </si>
  <si>
    <t>CUADRO 2</t>
  </si>
  <si>
    <t>Total</t>
  </si>
  <si>
    <t>Demanda</t>
  </si>
  <si>
    <t>Demanda atendida</t>
  </si>
  <si>
    <t>Pase reglamentado</t>
  </si>
  <si>
    <t>Concurso de selección</t>
  </si>
  <si>
    <t>CUADRO 3</t>
  </si>
  <si>
    <r>
      <t>UNAM. Población escolar</t>
    </r>
    <r>
      <rPr>
        <b/>
        <vertAlign val="superscript"/>
        <sz val="12"/>
        <rFont val="Arial"/>
        <family val="2"/>
      </rPr>
      <t>a</t>
    </r>
  </si>
  <si>
    <t>Población escolar total</t>
  </si>
  <si>
    <t>% mujeres</t>
  </si>
  <si>
    <t>Propedéutico Música</t>
  </si>
  <si>
    <r>
      <t>Bachillerato</t>
    </r>
    <r>
      <rPr>
        <vertAlign val="superscript"/>
        <sz val="10"/>
        <rFont val="Arial"/>
        <family val="2"/>
      </rPr>
      <t>b</t>
    </r>
  </si>
  <si>
    <t>Técnico</t>
  </si>
  <si>
    <t>Licenciatura</t>
  </si>
  <si>
    <t>Posgrado</t>
  </si>
  <si>
    <t>Primer ingreso</t>
  </si>
  <si>
    <t>Reingreso</t>
  </si>
  <si>
    <r>
      <t>a</t>
    </r>
    <r>
      <rPr>
        <sz val="8"/>
        <rFont val="Arial"/>
        <family val="2"/>
      </rPr>
      <t xml:space="preserve"> Incluye al Sistema Universidad Abierta y Educación a Distancia.</t>
    </r>
  </si>
  <si>
    <r>
      <t>b</t>
    </r>
    <r>
      <rPr>
        <sz val="8"/>
        <rFont val="Arial"/>
        <family val="2"/>
      </rPr>
      <t xml:space="preserve"> Incluye Iniciación Universitaria.</t>
    </r>
  </si>
  <si>
    <t>CUADRO 4</t>
  </si>
  <si>
    <r>
      <t>Especialización</t>
    </r>
    <r>
      <rPr>
        <vertAlign val="superscript"/>
        <sz val="10"/>
        <rFont val="Arial"/>
        <family val="2"/>
      </rPr>
      <t>a</t>
    </r>
  </si>
  <si>
    <r>
      <t>Especializaciones médicas</t>
    </r>
    <r>
      <rPr>
        <vertAlign val="superscript"/>
        <sz val="10"/>
        <rFont val="Arial"/>
        <family val="2"/>
      </rPr>
      <t>b</t>
    </r>
  </si>
  <si>
    <t>Otras especializaciones</t>
  </si>
  <si>
    <t>Maestría</t>
  </si>
  <si>
    <t>Doctorado</t>
  </si>
  <si>
    <r>
      <rPr>
        <vertAlign val="superscript"/>
        <sz val="8"/>
        <rFont val="Arial"/>
        <family val="2"/>
      </rPr>
      <t>b</t>
    </r>
    <r>
      <rPr>
        <sz val="8"/>
        <rFont val="Arial"/>
        <family val="2"/>
      </rPr>
      <t xml:space="preserve"> Se refiere al Plan Único de Especializaciones Médicas.</t>
    </r>
  </si>
  <si>
    <t>CUADRO 5</t>
  </si>
  <si>
    <t>Sistema Escolarizado</t>
  </si>
  <si>
    <t>Sistema Universidad Abierta y Educación a Distancia</t>
  </si>
  <si>
    <t>Ciencias Físico Matemáticas e Ingenierías</t>
  </si>
  <si>
    <t>-</t>
  </si>
  <si>
    <t>Ciencias Biológicas, Químicas y de la Salud</t>
  </si>
  <si>
    <t>Ciencias Sociales</t>
  </si>
  <si>
    <t>Humanidades y Artes</t>
  </si>
  <si>
    <t>CUADRO 6</t>
  </si>
  <si>
    <t>1998-1999</t>
  </si>
  <si>
    <t>Colegio de Ciencias y Humanidades</t>
  </si>
  <si>
    <r>
      <t>Escuela Nacional Preparatoria</t>
    </r>
    <r>
      <rPr>
        <vertAlign val="superscript"/>
        <sz val="10"/>
        <rFont val="Arial"/>
        <family val="2"/>
      </rPr>
      <t>a</t>
    </r>
  </si>
  <si>
    <r>
      <t>a</t>
    </r>
    <r>
      <rPr>
        <sz val="8"/>
        <rFont val="Arial"/>
        <family val="2"/>
      </rPr>
      <t xml:space="preserve"> Incluye Iniciación Universitaria.</t>
    </r>
  </si>
  <si>
    <t>CUADRO 7</t>
  </si>
  <si>
    <t>Población total</t>
  </si>
  <si>
    <t>CUADRO 8</t>
  </si>
  <si>
    <t>Total de egresados</t>
  </si>
  <si>
    <t>Bachillerato</t>
  </si>
  <si>
    <r>
      <t>Técnico</t>
    </r>
    <r>
      <rPr>
        <vertAlign val="superscript"/>
        <sz val="10"/>
        <rFont val="Arial"/>
        <family val="2"/>
      </rPr>
      <t>a,b</t>
    </r>
  </si>
  <si>
    <r>
      <t>b</t>
    </r>
    <r>
      <rPr>
        <sz val="8"/>
        <rFont val="Arial"/>
        <family val="2"/>
      </rPr>
      <t xml:space="preserve"> Incluye al Sistema de Universidad Abierta y Educación a Distancia.</t>
    </r>
  </si>
  <si>
    <t>CUADRO 9</t>
  </si>
  <si>
    <t>2000</t>
  </si>
  <si>
    <t>2001</t>
  </si>
  <si>
    <t>2002</t>
  </si>
  <si>
    <t>2003</t>
  </si>
  <si>
    <t>2004</t>
  </si>
  <si>
    <t>2005</t>
  </si>
  <si>
    <r>
      <t>Titulación</t>
    </r>
    <r>
      <rPr>
        <b/>
        <vertAlign val="superscript"/>
        <sz val="10"/>
        <rFont val="Arial"/>
        <family val="2"/>
      </rPr>
      <t>a</t>
    </r>
  </si>
  <si>
    <r>
      <t>Técnico</t>
    </r>
    <r>
      <rPr>
        <vertAlign val="superscript"/>
        <sz val="10"/>
        <rFont val="Arial"/>
        <family val="2"/>
      </rPr>
      <t>b</t>
    </r>
  </si>
  <si>
    <r>
      <t>Licenciatura</t>
    </r>
    <r>
      <rPr>
        <vertAlign val="superscript"/>
        <sz val="10"/>
        <rFont val="Arial"/>
        <family val="2"/>
      </rPr>
      <t>b</t>
    </r>
  </si>
  <si>
    <t>Tesis o tesina y examen profesional</t>
  </si>
  <si>
    <t>Otras opciones</t>
  </si>
  <si>
    <t>Otras opciones (porcentaje)</t>
  </si>
  <si>
    <t>Títulos expedidos</t>
  </si>
  <si>
    <r>
      <t>Especializaciones médicas</t>
    </r>
    <r>
      <rPr>
        <vertAlign val="superscript"/>
        <sz val="10"/>
        <rFont val="Arial"/>
        <family val="2"/>
      </rPr>
      <t>c</t>
    </r>
  </si>
  <si>
    <t>Especializaciones no médicas</t>
  </si>
  <si>
    <t>Exámenes de grado</t>
  </si>
  <si>
    <r>
      <t>b</t>
    </r>
    <r>
      <rPr>
        <sz val="8"/>
        <rFont val="Arial"/>
        <family val="2"/>
      </rPr>
      <t xml:space="preserve"> Incluye al Sistema Universidad Abierta y Educación a Distancia.</t>
    </r>
  </si>
  <si>
    <r>
      <rPr>
        <vertAlign val="superscript"/>
        <sz val="8"/>
        <rFont val="Arial"/>
        <family val="2"/>
      </rPr>
      <t>c</t>
    </r>
    <r>
      <rPr>
        <sz val="8"/>
        <rFont val="Arial"/>
        <family val="2"/>
      </rPr>
      <t xml:space="preserve"> Se refiere al Plan Único de Especializaciones Médicas.</t>
    </r>
  </si>
  <si>
    <t>CUADRO 10</t>
  </si>
  <si>
    <t>2006</t>
  </si>
  <si>
    <r>
      <t>Programas de posgrado</t>
    </r>
    <r>
      <rPr>
        <vertAlign val="superscript"/>
        <sz val="10"/>
        <rFont val="Arial"/>
        <family val="2"/>
      </rPr>
      <t>a</t>
    </r>
  </si>
  <si>
    <t>Planes de estudio de doctorado</t>
  </si>
  <si>
    <t>Planes de estudio de maestría</t>
  </si>
  <si>
    <t>Programas de especialización</t>
  </si>
  <si>
    <t>Planes de estudio de especialización</t>
  </si>
  <si>
    <t>Carreras</t>
  </si>
  <si>
    <t>Opciones educativas</t>
  </si>
  <si>
    <t>Sistema escolarizado</t>
  </si>
  <si>
    <r>
      <t>a</t>
    </r>
    <r>
      <rPr>
        <sz val="8"/>
        <rFont val="Arial"/>
        <family val="2"/>
      </rPr>
      <t xml:space="preserve"> Un programa de posgrado puede derivarse en más de un plan de estudios de maestría y doctorado.</t>
    </r>
  </si>
  <si>
    <t>CUADRO 11</t>
  </si>
  <si>
    <t>UNAM</t>
  </si>
  <si>
    <t>CONACyT</t>
  </si>
  <si>
    <t>Programas de posgrado</t>
  </si>
  <si>
    <t>Planes de estudio</t>
  </si>
  <si>
    <t>Área de conocimiento</t>
  </si>
  <si>
    <t>Maestrías</t>
  </si>
  <si>
    <t>Doctorados</t>
  </si>
  <si>
    <t>Nivel internacional</t>
  </si>
  <si>
    <t>Consolidados</t>
  </si>
  <si>
    <t>En desarrollo</t>
  </si>
  <si>
    <t>Reciente creación</t>
  </si>
  <si>
    <t>M</t>
  </si>
  <si>
    <t>D</t>
  </si>
  <si>
    <t>Ciencias Físico Matemáticas y de las Ingenierías</t>
  </si>
  <si>
    <t>Total de becarios estudiantes</t>
  </si>
  <si>
    <t>2010-2011</t>
  </si>
  <si>
    <t>Profesores</t>
  </si>
  <si>
    <t>Alumnos</t>
  </si>
  <si>
    <t>Instituciones</t>
  </si>
  <si>
    <t>Sedes</t>
  </si>
  <si>
    <t>Fuente: DGIRE, UNAM.</t>
  </si>
  <si>
    <t>Diplomados</t>
  </si>
  <si>
    <t>Cursos, talleres y seminarios</t>
  </si>
  <si>
    <t>Conferencias</t>
  </si>
  <si>
    <r>
      <t>Otros</t>
    </r>
    <r>
      <rPr>
        <vertAlign val="superscript"/>
        <sz val="10"/>
        <rFont val="Arial"/>
        <family val="2"/>
      </rPr>
      <t>b</t>
    </r>
  </si>
  <si>
    <t>Total de estudiantes</t>
  </si>
  <si>
    <t>Sedes nacionales</t>
  </si>
  <si>
    <t>CEPE-CU</t>
  </si>
  <si>
    <t>CEPE-Polanco</t>
  </si>
  <si>
    <t>CEPE-Taxco</t>
  </si>
  <si>
    <t>Sedes internacionales</t>
  </si>
  <si>
    <t>UNAM-San Antonio</t>
  </si>
  <si>
    <t>UNAM-Canadá</t>
  </si>
  <si>
    <t>UNAM-Chicago</t>
  </si>
  <si>
    <t>UNAM-Los Angeles</t>
  </si>
  <si>
    <t>UNAM-Seattle</t>
  </si>
  <si>
    <t>UNAM-España</t>
  </si>
  <si>
    <t>CUADRO 16</t>
  </si>
  <si>
    <t>Demanda de prestadores del servicio social</t>
  </si>
  <si>
    <t>Alumnos registrados</t>
  </si>
  <si>
    <t>Cartas únicas de liberación</t>
  </si>
  <si>
    <t>Personas</t>
  </si>
  <si>
    <t xml:space="preserve">% mujeres </t>
  </si>
  <si>
    <t>Nombramientos académicos</t>
  </si>
  <si>
    <t>Profesores de carrera</t>
  </si>
  <si>
    <t>Investigadores</t>
  </si>
  <si>
    <t>Técnicos académicos en docencia</t>
  </si>
  <si>
    <t>Técnicos académicos en investigación</t>
  </si>
  <si>
    <t>Profesores de asignatura</t>
  </si>
  <si>
    <t>Ayudantes de profesor</t>
  </si>
  <si>
    <t>Ayudantes de investigador</t>
  </si>
  <si>
    <r>
      <t>Otros</t>
    </r>
    <r>
      <rPr>
        <vertAlign val="superscript"/>
        <sz val="10"/>
        <rFont val="Arial"/>
        <family val="2"/>
      </rPr>
      <t>a</t>
    </r>
  </si>
  <si>
    <r>
      <t>a</t>
    </r>
    <r>
      <rPr>
        <sz val="8"/>
        <rFont val="Arial"/>
        <family val="2"/>
      </rPr>
      <t xml:space="preserve"> Incluye a profesores e investigadores visitantes y eméritos, a jubilados docentes en activo (a partir del año 2004), y a jubilados eméritos en activo (a partir del año 2004).</t>
    </r>
  </si>
  <si>
    <t>CUADRO 18</t>
  </si>
  <si>
    <t>Profesores de carrera TC</t>
  </si>
  <si>
    <t>Investigadores de carrera TC</t>
  </si>
  <si>
    <t>Técnicos académicos en docencia TC</t>
  </si>
  <si>
    <t>Técnicos académicos en investigación TC</t>
  </si>
  <si>
    <t>Ayudantes de investigador TC</t>
  </si>
  <si>
    <t>Total de nombramientos académicos</t>
  </si>
  <si>
    <t>Planteles de bachillerato</t>
  </si>
  <si>
    <t>Técnicos académicos</t>
  </si>
  <si>
    <t>Otros nombramientos</t>
  </si>
  <si>
    <t>Facultades</t>
  </si>
  <si>
    <t>Escuelas</t>
  </si>
  <si>
    <r>
      <t>Unidades Multidisciplinarias</t>
    </r>
    <r>
      <rPr>
        <b/>
        <vertAlign val="superscript"/>
        <sz val="10"/>
        <rFont val="Arial"/>
        <family val="2"/>
      </rPr>
      <t>a</t>
    </r>
  </si>
  <si>
    <t>Institutos y centros de investigación científica</t>
  </si>
  <si>
    <t>Institutos y centros de investigación humanística</t>
  </si>
  <si>
    <t>Otras dependencias</t>
  </si>
  <si>
    <r>
      <rPr>
        <vertAlign val="superscript"/>
        <sz val="8"/>
        <rFont val="Arial"/>
        <family val="2"/>
      </rPr>
      <t>a</t>
    </r>
    <r>
      <rPr>
        <sz val="8"/>
        <rFont val="Arial"/>
        <family val="2"/>
      </rPr>
      <t xml:space="preserve"> En las </t>
    </r>
    <r>
      <rPr>
        <i/>
        <sz val="8"/>
        <rFont val="Arial"/>
        <family val="2"/>
      </rPr>
      <t>Poliíticas y Normas de Operación Presupuestal</t>
    </r>
    <r>
      <rPr>
        <sz val="8"/>
        <rFont val="Arial"/>
        <family val="2"/>
      </rPr>
      <t xml:space="preserve"> de la UNAM, este grupo esta conformado por las Facultades de Estudios Superiores (FES) y las Escuelas Nacionales de Estudios Superiores (ENES).</t>
    </r>
  </si>
  <si>
    <t>CUADRO 20</t>
  </si>
  <si>
    <t>Investigación Científica</t>
  </si>
  <si>
    <t>Investigación en Humanidades</t>
  </si>
  <si>
    <t>Docencia</t>
  </si>
  <si>
    <t>Técnicos Académicos</t>
  </si>
  <si>
    <t>UNAM. Programas de apoyo al personal académico</t>
  </si>
  <si>
    <t>PRIDE</t>
  </si>
  <si>
    <t>Costo total (millones de pesos)</t>
  </si>
  <si>
    <t>Cobertura</t>
  </si>
  <si>
    <t>PEPASIG</t>
  </si>
  <si>
    <t>FOMDOC</t>
  </si>
  <si>
    <t>PAIPA</t>
  </si>
  <si>
    <t>PEII</t>
  </si>
  <si>
    <t>PUN</t>
  </si>
  <si>
    <t>RDUNJA</t>
  </si>
  <si>
    <t>PERPAE</t>
  </si>
  <si>
    <t>PEI</t>
  </si>
  <si>
    <t>PRIDE: Programa de Primas al Desempeño del Personal Académico de Tiempo Completo</t>
  </si>
  <si>
    <t>PEPASIG: Programa de Estímulos a la Productividad y al Rendimiento del Personal Académico de Asignatura</t>
  </si>
  <si>
    <t>PAIPA: Programa de Apoyo a la Incorporación de Personal Académico de Tiempo Completo</t>
  </si>
  <si>
    <t>PEII: Programa de Estímulos de Iniciación a la Investigación</t>
  </si>
  <si>
    <t>PUN: Premio Universidad Nacional</t>
  </si>
  <si>
    <t>RDUNJA: Reconocimiento Distinción Universidad Nacional para Jóvenes Académicos</t>
  </si>
  <si>
    <t>PERPAE: Programa de Estímulos y Reconocimiento al Personal Académico Emérito</t>
  </si>
  <si>
    <t>Fuente: DGAPA, UNAM.</t>
  </si>
  <si>
    <t>Actualización y superación docente</t>
  </si>
  <si>
    <t>PASD</t>
  </si>
  <si>
    <t>Actualización bachillerato</t>
  </si>
  <si>
    <t>Cursos</t>
  </si>
  <si>
    <t>Profesores participantes</t>
  </si>
  <si>
    <t>Superación bachillerato</t>
  </si>
  <si>
    <t>0,25</t>
  </si>
  <si>
    <t>Actualización licenciatura</t>
  </si>
  <si>
    <t>Superación licenciatura</t>
  </si>
  <si>
    <r>
      <t>Integración y Cultura Universitaria</t>
    </r>
    <r>
      <rPr>
        <b/>
        <vertAlign val="superscript"/>
        <sz val="10"/>
        <rFont val="Arial"/>
        <family val="2"/>
      </rPr>
      <t>a</t>
    </r>
  </si>
  <si>
    <r>
      <t>Habilidades Genéricas</t>
    </r>
    <r>
      <rPr>
        <b/>
        <vertAlign val="superscript"/>
        <sz val="10"/>
        <rFont val="Arial"/>
        <family val="2"/>
      </rPr>
      <t>b</t>
    </r>
  </si>
  <si>
    <t>PASD: Programa de Actualización y Superación Docente</t>
  </si>
  <si>
    <r>
      <rPr>
        <vertAlign val="superscript"/>
        <sz val="8"/>
        <rFont val="Arial"/>
        <family val="2"/>
      </rPr>
      <t>a</t>
    </r>
    <r>
      <rPr>
        <sz val="8"/>
        <rFont val="Arial"/>
        <family val="2"/>
      </rPr>
      <t xml:space="preserve"> A partir de 2012 el programa de Integración y Cultura Universitaria, se incorporó al PASD-Licenciatura.</t>
    </r>
  </si>
  <si>
    <t>CUADRO 23</t>
  </si>
  <si>
    <t>Apoyos para la formación del personal académico</t>
  </si>
  <si>
    <t>PASPA</t>
  </si>
  <si>
    <t>Total de becas administradas</t>
  </si>
  <si>
    <t>Estancias posdoctorales</t>
  </si>
  <si>
    <t>Estancias sabáticas</t>
  </si>
  <si>
    <t>Estancias de investigación</t>
  </si>
  <si>
    <t>En el país</t>
  </si>
  <si>
    <t>En el extranjero</t>
  </si>
  <si>
    <t>Programa de Becas Posdoctorales (DGAPA)</t>
  </si>
  <si>
    <t>Total de becas</t>
  </si>
  <si>
    <t>Costo becas (millones de pesos)</t>
  </si>
  <si>
    <t>PROFIP</t>
  </si>
  <si>
    <t>Nacionales</t>
  </si>
  <si>
    <t>Creación de plazas</t>
  </si>
  <si>
    <t>PFPBU</t>
  </si>
  <si>
    <t>Total becas</t>
  </si>
  <si>
    <t>PFAMU</t>
  </si>
  <si>
    <t>UNAM - CSIC</t>
  </si>
  <si>
    <t>Estancias y pasantías posdoctorales</t>
  </si>
  <si>
    <t>Fundación Carolina - UNAM</t>
  </si>
  <si>
    <t>PASPA: Programa de Apoyos para la Superación del Personal Académico de la UNAM</t>
  </si>
  <si>
    <t>PROFIP: Programa de Formación e Incorporación de Profesores de Carrera en Facultades y Escuelas para el Fortalecimiento de la Investigación - Estancias Posdoctorales</t>
  </si>
  <si>
    <t>PFPBU: Programa de Formación de Profesores para el Bachillerato Universitario</t>
  </si>
  <si>
    <t xml:space="preserve">MADEMS: Maestría en Docencia para la Educación Media Superior </t>
  </si>
  <si>
    <t>PFAMU: Programa de Fortalecimiento Académico para las Mujeres Universitarias - Incorporación a la Planta Docente</t>
  </si>
  <si>
    <t>CSIC: Consejo Superior de Investigaciones Científicas de España</t>
  </si>
  <si>
    <t>Apoyo a proyectos de investigación, innovación tecnológica y apoyo a la enseñanza</t>
  </si>
  <si>
    <t>PAPIIT</t>
  </si>
  <si>
    <t>Proyectos</t>
  </si>
  <si>
    <t>Académicos participantes</t>
  </si>
  <si>
    <t>Alumnos participantes</t>
  </si>
  <si>
    <t>Becarios</t>
  </si>
  <si>
    <t>IACOD</t>
  </si>
  <si>
    <t>PAPIME</t>
  </si>
  <si>
    <t>INFOCAB</t>
  </si>
  <si>
    <r>
      <t>Académicos participantes</t>
    </r>
    <r>
      <rPr>
        <vertAlign val="superscript"/>
        <sz val="10"/>
        <rFont val="Arial"/>
        <family val="2"/>
      </rPr>
      <t>b</t>
    </r>
  </si>
  <si>
    <r>
      <t>Costo total (millones de pesos</t>
    </r>
    <r>
      <rPr>
        <sz val="10"/>
        <rFont val="Arial"/>
        <family val="2"/>
      </rPr>
      <t>)</t>
    </r>
    <r>
      <rPr>
        <vertAlign val="superscript"/>
        <sz val="10"/>
        <rFont val="Arial"/>
        <family val="2"/>
      </rPr>
      <t>a</t>
    </r>
  </si>
  <si>
    <t>Académicas participantes</t>
  </si>
  <si>
    <t>IXTLI</t>
  </si>
  <si>
    <t>PAPIIT: Programa de Apoyo a Proyectos de Investigación e Innovación Tecnológica</t>
  </si>
  <si>
    <t>IACOD: Iniciativa de Apoyo Complementario a la Realización de las Obras Determinadas</t>
  </si>
  <si>
    <t>INFOCAB: Iniciativa para Fortalecer la Carrera Académica en el Bachillerato de la UNAM</t>
  </si>
  <si>
    <t>PFAMU: Programa de Fortalecimiento Académico para las Mujeres Universitarias - Fomento a la Investigación</t>
  </si>
  <si>
    <t xml:space="preserve">IXTLI: Fortalecimiento a la Docencia a través del Observatorio de Visualización de la UNAM, Ixtli </t>
  </si>
  <si>
    <t>Total de becarios</t>
  </si>
  <si>
    <t>Programa de Becas Posdoctorales</t>
  </si>
  <si>
    <t>Coordinación de la Investigación Científica</t>
  </si>
  <si>
    <t>Coordinación de Humanidades</t>
  </si>
  <si>
    <t>Facultades y escuelas</t>
  </si>
  <si>
    <t>Programa de Cooperación Científica UNAM-CSIC</t>
  </si>
  <si>
    <r>
      <t>Facultades</t>
    </r>
    <r>
      <rPr>
        <sz val="10"/>
        <rFont val="Arial"/>
        <family val="2"/>
      </rPr>
      <t>,</t>
    </r>
    <r>
      <rPr>
        <sz val="10"/>
        <rFont val="Arial"/>
        <family val="2"/>
      </rPr>
      <t xml:space="preserve"> escuelas</t>
    </r>
    <r>
      <rPr>
        <sz val="10"/>
        <rFont val="Arial"/>
        <family val="2"/>
      </rPr>
      <t>, institutos y centros</t>
    </r>
  </si>
  <si>
    <t>CUADRO 26</t>
  </si>
  <si>
    <t>UNAM. Investigadores en el SNI con adscripción en la UNAM</t>
  </si>
  <si>
    <t>Total de investigadores en el SNI</t>
  </si>
  <si>
    <t>% mujeres</t>
  </si>
  <si>
    <t>Institutos y centros de investigación en humanidades y ciencias sociales</t>
  </si>
  <si>
    <t>Unidades multidisciplinarias</t>
  </si>
  <si>
    <t>Escuela Nacional Preparatoria</t>
  </si>
  <si>
    <t>SNI: Sistema Nacional de investigadores.</t>
  </si>
  <si>
    <t>CUADRO 27</t>
  </si>
  <si>
    <t>UNAM. Investigadores en el SNI con adscripción en la UNAM por nivel</t>
  </si>
  <si>
    <t>Candidatos</t>
  </si>
  <si>
    <t>Nivel 1</t>
  </si>
  <si>
    <t>Nivel 2</t>
  </si>
  <si>
    <t>Nivel 3</t>
  </si>
  <si>
    <t>Nacional</t>
  </si>
  <si>
    <t>Proporción UNAM</t>
  </si>
  <si>
    <t>Artículos publicados en revistas nacionales</t>
  </si>
  <si>
    <t>Subsistema de investigación científica</t>
  </si>
  <si>
    <t>Subsistema de humanidades</t>
  </si>
  <si>
    <r>
      <t>Facultades y escuelas</t>
    </r>
    <r>
      <rPr>
        <vertAlign val="superscript"/>
        <sz val="10"/>
        <rFont val="Arial"/>
        <family val="2"/>
      </rPr>
      <t>e</t>
    </r>
  </si>
  <si>
    <t>Artículos publicados en revistas internacionales</t>
  </si>
  <si>
    <t>Capítulos en libros</t>
  </si>
  <si>
    <t>Libros</t>
  </si>
  <si>
    <t>Reportes técnicos</t>
  </si>
  <si>
    <t>UNAM. Artículos científicos registrados en International Science Indicators (ISI)</t>
  </si>
  <si>
    <t>México</t>
  </si>
  <si>
    <t>Universidad Nacional Autónoma de México</t>
  </si>
  <si>
    <t>Universidad Nacional Autónoma de México (porcentaje)</t>
  </si>
  <si>
    <t>Total de actividades</t>
  </si>
  <si>
    <t>Funciones de conciertos</t>
  </si>
  <si>
    <t>Funciones de obras de teatro</t>
  </si>
  <si>
    <t>Funciones de obras de danza</t>
  </si>
  <si>
    <t>Funciones de obras fílmicas y videos</t>
  </si>
  <si>
    <t>Exposiciones</t>
  </si>
  <si>
    <t>Talleres</t>
  </si>
  <si>
    <t>Conferencias y/o videoconferencias</t>
  </si>
  <si>
    <t xml:space="preserve"> </t>
  </si>
  <si>
    <t>Fuente: CDC, UNAM.</t>
  </si>
  <si>
    <t>Total de asistentes</t>
  </si>
  <si>
    <t>UNAM. Funciones en los recintos y espacios del Centro Cultural Universitario</t>
  </si>
  <si>
    <t xml:space="preserve">  </t>
  </si>
  <si>
    <t>Total de funciones</t>
  </si>
  <si>
    <t>Música</t>
  </si>
  <si>
    <t>Sala Nezahualcóyotl</t>
  </si>
  <si>
    <t>Sala Carlos Chávez</t>
  </si>
  <si>
    <t>Teatro Juan Ruíz de Alarcón</t>
  </si>
  <si>
    <t>Sala Miguel Covarrubias</t>
  </si>
  <si>
    <t>Espacio escultórico</t>
  </si>
  <si>
    <t>Explanada del CCU</t>
  </si>
  <si>
    <t>Foro del CUT</t>
  </si>
  <si>
    <t>Teatro</t>
  </si>
  <si>
    <t>Foro Sor Juana Inés de la Cruz</t>
  </si>
  <si>
    <t>Explanada del CUT</t>
  </si>
  <si>
    <t>Danza</t>
  </si>
  <si>
    <t>Serpiente del Pedregal</t>
  </si>
  <si>
    <t>Cine</t>
  </si>
  <si>
    <t>Sala José Revueltas</t>
  </si>
  <si>
    <t>Sala Julio Bracho</t>
  </si>
  <si>
    <t>Sala Carlos Monsivaís</t>
  </si>
  <si>
    <t>UNAM. Asistencia a funciones en los recintos y espacios del Centro Cultural Universitario</t>
  </si>
  <si>
    <r>
      <rPr>
        <sz val="10"/>
        <rFont val="Arial"/>
        <family val="2"/>
      </rPr>
      <t>Explanada</t>
    </r>
    <r>
      <rPr>
        <sz val="10"/>
        <rFont val="Arial"/>
        <family val="2"/>
      </rPr>
      <t xml:space="preserve"> del CCU</t>
    </r>
  </si>
  <si>
    <t>Total de ejemplares en los acervos especializados</t>
  </si>
  <si>
    <t>Discoteca (grabaciones)</t>
  </si>
  <si>
    <t>Filmoteca (número de títulos fílmicos)</t>
  </si>
  <si>
    <t>Fonoteca (grabaciones)</t>
  </si>
  <si>
    <t>Obra artística (piezas de arte)</t>
  </si>
  <si>
    <t>Videoteca (materiales videográficos)</t>
  </si>
  <si>
    <r>
      <t>Títulos publicados</t>
    </r>
    <r>
      <rPr>
        <b/>
        <vertAlign val="superscript"/>
        <sz val="10"/>
        <rFont val="Arial"/>
        <family val="2"/>
      </rPr>
      <t>a</t>
    </r>
  </si>
  <si>
    <t>Libros electrónicos</t>
  </si>
  <si>
    <r>
      <t>a</t>
    </r>
    <r>
      <rPr>
        <sz val="8"/>
        <rFont val="Arial"/>
        <family val="2"/>
      </rPr>
      <t xml:space="preserve"> Suma de libros, libros electrónicos y publicaciones periódicas.</t>
    </r>
  </si>
  <si>
    <r>
      <t>b</t>
    </r>
    <r>
      <rPr>
        <sz val="8"/>
        <rFont val="Arial"/>
        <family val="2"/>
      </rPr>
      <t xml:space="preserve"> Incluye folletos, manuales, guías, catálogos y agendas.</t>
    </r>
  </si>
  <si>
    <t>Fuente: DGPyFE, UNAM.</t>
  </si>
  <si>
    <t>Bibliotecas</t>
  </si>
  <si>
    <t>Títulos</t>
  </si>
  <si>
    <t>Volúmenes</t>
  </si>
  <si>
    <t>Material Bibliográfico (libros)</t>
  </si>
  <si>
    <r>
      <t>Títulos</t>
    </r>
    <r>
      <rPr>
        <vertAlign val="superscript"/>
        <sz val="10"/>
        <rFont val="Arial"/>
        <family val="2"/>
      </rPr>
      <t>b</t>
    </r>
  </si>
  <si>
    <t>Suscripciones</t>
  </si>
  <si>
    <t>n.d.</t>
  </si>
  <si>
    <t>Títulos únicos</t>
  </si>
  <si>
    <t>Recursos y servicios de la Biblioteca Digital (BIDI)</t>
  </si>
  <si>
    <t>Suscripciones a revistas electrónicas</t>
  </si>
  <si>
    <r>
      <t>Descargas</t>
    </r>
    <r>
      <rPr>
        <vertAlign val="superscript"/>
        <sz val="10"/>
        <rFont val="Arial"/>
        <family val="2"/>
      </rPr>
      <t>c</t>
    </r>
  </si>
  <si>
    <t>Revistas electrónicas de texto completo</t>
  </si>
  <si>
    <t>6,000</t>
  </si>
  <si>
    <r>
      <t>6,000</t>
    </r>
  </si>
  <si>
    <r>
      <t>6,400</t>
    </r>
  </si>
  <si>
    <t>7,300</t>
  </si>
  <si>
    <t>Bases de datos internacionales especializadas</t>
  </si>
  <si>
    <t>Referenciales</t>
  </si>
  <si>
    <t>Texto completo</t>
  </si>
  <si>
    <t>Tesis electrónicas</t>
  </si>
  <si>
    <t>Hemeroteca electrónica SciELO-México (Títulos incluidos)</t>
  </si>
  <si>
    <t>Número de usuarios con clave de acceso remoto</t>
  </si>
  <si>
    <t>Consultas a bases de datos</t>
  </si>
  <si>
    <t>Artículos obtenidos de la red (texto completo)</t>
  </si>
  <si>
    <t>Catálogos y bases de datos referenciales</t>
  </si>
  <si>
    <t>Registros en LIBRUNAM</t>
  </si>
  <si>
    <t>Volúmenes en LIBRUNAM</t>
  </si>
  <si>
    <t>Registros en SERIUNAM</t>
  </si>
  <si>
    <r>
      <t>Volúmenes en SERIUNAM</t>
    </r>
    <r>
      <rPr>
        <vertAlign val="superscript"/>
        <sz val="10"/>
        <rFont val="Arial"/>
        <family val="2"/>
      </rPr>
      <t>d</t>
    </r>
  </si>
  <si>
    <t>Registros en MAPAMEX</t>
  </si>
  <si>
    <t>Registros en CLASE - Ciencias sociales y humanidades</t>
  </si>
  <si>
    <t>Registros en PERIODICA - Ciencias exactas y naturales</t>
  </si>
  <si>
    <r>
      <t>Asistencia a bibliotecas y préstamo a domicilio</t>
    </r>
    <r>
      <rPr>
        <b/>
        <vertAlign val="superscript"/>
        <sz val="10"/>
        <rFont val="Arial"/>
        <family val="2"/>
      </rPr>
      <t>e</t>
    </r>
  </si>
  <si>
    <r>
      <t>c</t>
    </r>
    <r>
      <rPr>
        <sz val="8"/>
        <rFont val="Arial"/>
        <family val="2"/>
      </rPr>
      <t xml:space="preserve"> La cifra no refleja la totalidad del uso de los libros electrónicos debido a que los proveedores utilizan diferentes criterios para medirlo.</t>
    </r>
  </si>
  <si>
    <t>RedUNAM</t>
  </si>
  <si>
    <t>Servidores de internet</t>
  </si>
  <si>
    <t>Capacidad de conexión a internet (Mbps)</t>
  </si>
  <si>
    <t>Cuentas de correo electrónico (servidor central y otros servidores)</t>
  </si>
  <si>
    <t>Redes de cómputo asignadas</t>
  </si>
  <si>
    <r>
      <t>a</t>
    </r>
    <r>
      <rPr>
        <sz val="8"/>
        <rFont val="Arial"/>
        <family val="2"/>
      </rPr>
      <t xml:space="preserve"> Millones de operaciones aritméticas por segundo.</t>
    </r>
  </si>
  <si>
    <t>Fuente: DGTIC, UNAM.</t>
  </si>
  <si>
    <t>Área construida por año</t>
  </si>
  <si>
    <t>Área construida acumulada</t>
  </si>
  <si>
    <t>Investigación</t>
  </si>
  <si>
    <t>Extensión Universitaria</t>
  </si>
  <si>
    <t>Gestión Institucional</t>
  </si>
  <si>
    <t>Fuente: DGOyC, UNAM.</t>
  </si>
  <si>
    <t>(pesos corrientes)</t>
  </si>
  <si>
    <t>Educación Superior</t>
  </si>
  <si>
    <t>Educación Media Superior</t>
  </si>
  <si>
    <r>
      <t>(pesos constantes</t>
    </r>
    <r>
      <rPr>
        <vertAlign val="superscript"/>
        <sz val="11"/>
        <rFont val="Arial"/>
        <family val="2"/>
      </rPr>
      <t>c</t>
    </r>
    <r>
      <rPr>
        <sz val="11"/>
        <rFont val="Arial"/>
        <family val="2"/>
      </rPr>
      <t>)</t>
    </r>
  </si>
  <si>
    <t>CUADRO I</t>
  </si>
  <si>
    <t>UNAM. Población escolar total</t>
  </si>
  <si>
    <t>1924-1969</t>
  </si>
  <si>
    <t>Año</t>
  </si>
  <si>
    <t>En planteles de bachillerato</t>
  </si>
  <si>
    <t>En facultades y escuelas de educación superior</t>
  </si>
  <si>
    <t>1924-1969: Series de Inscripción General, UNAM, 1975.</t>
  </si>
  <si>
    <t>CUADRO II</t>
  </si>
  <si>
    <r>
      <t>UNAM. Población escolar total</t>
    </r>
    <r>
      <rPr>
        <b/>
        <vertAlign val="superscript"/>
        <sz val="12"/>
        <rFont val="Arial"/>
        <family val="2"/>
      </rPr>
      <t>a</t>
    </r>
  </si>
  <si>
    <r>
      <t>Bachillerato</t>
    </r>
    <r>
      <rPr>
        <vertAlign val="superscript"/>
        <sz val="9"/>
        <rFont val="Arial"/>
        <family val="2"/>
      </rPr>
      <t>b</t>
    </r>
  </si>
  <si>
    <r>
      <t>Técnico</t>
    </r>
    <r>
      <rPr>
        <vertAlign val="superscript"/>
        <sz val="9"/>
        <rFont val="Arial"/>
        <family val="2"/>
      </rPr>
      <t>c</t>
    </r>
  </si>
  <si>
    <r>
      <t>a</t>
    </r>
    <r>
      <rPr>
        <sz val="8"/>
        <rFont val="Arial"/>
        <family val="2"/>
      </rPr>
      <t xml:space="preserve"> Incluye al Sistema de Universidad Abierta y Educación a Distancia (SUAyED).</t>
    </r>
  </si>
  <si>
    <r>
      <t>b</t>
    </r>
    <r>
      <rPr>
        <sz val="8"/>
        <rFont val="Arial"/>
        <family val="2"/>
      </rPr>
      <t xml:space="preserve"> Incluye Iniciación Universitaria (Secundaria).</t>
    </r>
  </si>
  <si>
    <r>
      <t>c</t>
    </r>
    <r>
      <rPr>
        <sz val="8"/>
        <rFont val="Arial"/>
        <family val="2"/>
      </rPr>
      <t xml:space="preserve"> Incluye al Propedeútico de la Facultad de Música.</t>
    </r>
  </si>
  <si>
    <t>1970-1979: Anuarios Estadísticos, UNAM.</t>
  </si>
  <si>
    <t>1980-1985: Series Históricas, DGAE, UNAM.</t>
  </si>
  <si>
    <t>CUADRO III</t>
  </si>
  <si>
    <t>Propedeútico de la FAM</t>
  </si>
  <si>
    <t>Iniciación Universitaria</t>
  </si>
  <si>
    <t>CUADRO IV</t>
  </si>
  <si>
    <t>UNAM. Población escolar de primer ingreso</t>
  </si>
  <si>
    <t>f</t>
  </si>
  <si>
    <t>a</t>
  </si>
  <si>
    <t>e</t>
  </si>
  <si>
    <t>d,e</t>
  </si>
  <si>
    <t>d</t>
  </si>
  <si>
    <t>b</t>
  </si>
  <si>
    <t>g</t>
  </si>
  <si>
    <r>
      <t>b</t>
    </r>
    <r>
      <rPr>
        <sz val="8"/>
        <rFont val="Arial"/>
        <family val="2"/>
      </rPr>
      <t xml:space="preserve"> Incluye el posgrado.</t>
    </r>
  </si>
  <si>
    <r>
      <t>c</t>
    </r>
    <r>
      <rPr>
        <sz val="8"/>
        <rFont val="Arial"/>
        <family val="2"/>
      </rPr>
      <t xml:space="preserve"> Incluye el nivel técnico.</t>
    </r>
  </si>
  <si>
    <r>
      <t>d</t>
    </r>
    <r>
      <rPr>
        <sz val="8"/>
        <rFont val="Arial"/>
        <family val="2"/>
      </rPr>
      <t xml:space="preserve"> Incluye el nivel técnico y posgrado.</t>
    </r>
  </si>
  <si>
    <r>
      <t>e</t>
    </r>
    <r>
      <rPr>
        <sz val="8"/>
        <rFont val="Arial"/>
        <family val="2"/>
      </rPr>
      <t xml:space="preserve"> Cifras estimadas.</t>
    </r>
  </si>
  <si>
    <r>
      <t>f</t>
    </r>
    <r>
      <rPr>
        <sz val="8"/>
        <rFont val="Arial"/>
        <family val="2"/>
      </rPr>
      <t xml:space="preserve"> Incluye Iniciación Universitaria.</t>
    </r>
  </si>
  <si>
    <r>
      <t>g</t>
    </r>
    <r>
      <rPr>
        <sz val="8"/>
        <rFont val="Arial"/>
        <family val="2"/>
      </rPr>
      <t xml:space="preserve"> Incluye el Propedéutico de la Facultad de Música.</t>
    </r>
  </si>
  <si>
    <t>Inscripción General, UNAM.</t>
  </si>
  <si>
    <t>Anuarios Estadísticos, UNAM.</t>
  </si>
  <si>
    <t>Series de Estadística Básica, SEB, UNAM.</t>
  </si>
  <si>
    <t>CUADRO V</t>
  </si>
  <si>
    <t>UNAM. Titulación en licenciatura</t>
  </si>
  <si>
    <t>Hombres</t>
  </si>
  <si>
    <t>Mujeres</t>
  </si>
  <si>
    <r>
      <t>a</t>
    </r>
    <r>
      <rPr>
        <sz val="8"/>
        <color indexed="8"/>
        <rFont val="Arial"/>
        <family val="2"/>
      </rPr>
      <t xml:space="preserve"> Exámenes profesionales aprobados y, en años recientes, otras opciones de titulación.</t>
    </r>
  </si>
  <si>
    <t>1924-1972: Series de Inscripción General, UNAM, 1975.</t>
  </si>
  <si>
    <t>1973-1985: Anuarios Estadísticos, UNAM.</t>
  </si>
  <si>
    <t>CUADRO VI</t>
  </si>
  <si>
    <t>UNAM. Titulación, diplomas de especialización y grados otorgados</t>
  </si>
  <si>
    <t>Titulación licencitura</t>
  </si>
  <si>
    <t>Titulación técnico</t>
  </si>
  <si>
    <t>Mestría</t>
  </si>
  <si>
    <t>CUADRO VII</t>
  </si>
  <si>
    <t>UNAM. Demanda e ingreso a bachillerato y licenciatura</t>
  </si>
  <si>
    <t>Ciclo escolar</t>
  </si>
  <si>
    <t>Demanda a bachillerato</t>
  </si>
  <si>
    <t>Demanda total a licenciatura</t>
  </si>
  <si>
    <t>Por pase reglamentado</t>
  </si>
  <si>
    <t>Por concurso de selección</t>
  </si>
  <si>
    <t>Otros ingresos</t>
  </si>
  <si>
    <t>Inscripción inicial a bachillerato</t>
  </si>
  <si>
    <t>Inscripción inicial a licenciatura</t>
  </si>
  <si>
    <t>1974-1975</t>
  </si>
  <si>
    <t>1975-1976</t>
  </si>
  <si>
    <t>1976-1977</t>
  </si>
  <si>
    <t>1977-1978</t>
  </si>
  <si>
    <t>1978-1979</t>
  </si>
  <si>
    <t>1979-1980</t>
  </si>
  <si>
    <t>1980-1981</t>
  </si>
  <si>
    <t>1981-1982</t>
  </si>
  <si>
    <t>1982-1983</t>
  </si>
  <si>
    <t>1983-1984</t>
  </si>
  <si>
    <t>1984-1985</t>
  </si>
  <si>
    <t>1985-1986</t>
  </si>
  <si>
    <t>1986-1987</t>
  </si>
  <si>
    <t>1987-1988</t>
  </si>
  <si>
    <t>1988-1989</t>
  </si>
  <si>
    <t>1989-1990</t>
  </si>
  <si>
    <t>1990-1991</t>
  </si>
  <si>
    <t>1991-1992</t>
  </si>
  <si>
    <t>1992-1993</t>
  </si>
  <si>
    <t>1993-1994</t>
  </si>
  <si>
    <t>1994-1995</t>
  </si>
  <si>
    <t>1995-1996</t>
  </si>
  <si>
    <t>1996-1997</t>
  </si>
  <si>
    <t>1997-1998</t>
  </si>
  <si>
    <r>
      <t>UNAM. Tesis dirigidas por investigadores</t>
    </r>
    <r>
      <rPr>
        <b/>
        <vertAlign val="superscript"/>
        <sz val="12"/>
        <rFont val="Arial"/>
        <family val="2"/>
      </rPr>
      <t>a</t>
    </r>
  </si>
  <si>
    <t>Total de tesis dirigidas</t>
  </si>
  <si>
    <t>Especialización</t>
  </si>
  <si>
    <r>
      <rPr>
        <vertAlign val="superscript"/>
        <sz val="8"/>
        <rFont val="Arial"/>
        <family val="2"/>
      </rPr>
      <t>a</t>
    </r>
    <r>
      <rPr>
        <sz val="8"/>
        <rFont val="Arial"/>
        <family val="2"/>
      </rPr>
      <t xml:space="preserve"> Se refiere a tesis dirigidas terminadas y otras opciones de titulación y graduación aprobadas por los consejos técnicos y académicos.</t>
    </r>
  </si>
  <si>
    <t>Fuente: CIC, CH, UNAM.</t>
  </si>
  <si>
    <r>
      <t>UNAM. Población escolar de bachillerato</t>
    </r>
    <r>
      <rPr>
        <b/>
        <vertAlign val="superscript"/>
        <sz val="12"/>
        <rFont val="Arial"/>
        <family val="2"/>
      </rPr>
      <t>a</t>
    </r>
  </si>
  <si>
    <t>ENP</t>
  </si>
  <si>
    <t>CCH</t>
  </si>
  <si>
    <r>
      <t>a</t>
    </r>
    <r>
      <rPr>
        <sz val="8"/>
        <rFont val="Arial"/>
        <family val="2"/>
      </rPr>
      <t xml:space="preserve"> Incluye Iniciación Universitaria (Secundaria).</t>
    </r>
  </si>
  <si>
    <r>
      <t>Posgrado</t>
    </r>
    <r>
      <rPr>
        <vertAlign val="superscript"/>
        <sz val="10"/>
        <rFont val="Arial"/>
        <family val="2"/>
      </rPr>
      <t>a</t>
    </r>
  </si>
  <si>
    <t>2015-2016</t>
  </si>
  <si>
    <t>Estímulos</t>
  </si>
  <si>
    <t>Reconocimientos</t>
  </si>
  <si>
    <t>Académicos apoyados</t>
  </si>
  <si>
    <t>CUADRO 19</t>
  </si>
  <si>
    <t>Salón de Danza</t>
  </si>
  <si>
    <r>
      <t>a</t>
    </r>
    <r>
      <rPr>
        <sz val="8"/>
        <rFont val="Arial"/>
        <family val="2"/>
      </rPr>
      <t xml:space="preserve"> A partir del año 2015 se refiere solamente a los titulos registrados en LIBRUNAM.</t>
    </r>
  </si>
  <si>
    <r>
      <t>Material bibliográfico (títulos)</t>
    </r>
    <r>
      <rPr>
        <vertAlign val="superscript"/>
        <sz val="10"/>
        <rFont val="Arial"/>
        <family val="2"/>
      </rPr>
      <t>a</t>
    </r>
  </si>
  <si>
    <t>CUADRO 39</t>
  </si>
  <si>
    <r>
      <t>En el PNPC</t>
    </r>
    <r>
      <rPr>
        <b/>
        <vertAlign val="superscript"/>
        <sz val="10"/>
        <rFont val="Arial"/>
        <family val="2"/>
      </rPr>
      <t>b</t>
    </r>
  </si>
  <si>
    <t>Videoconferencias</t>
  </si>
  <si>
    <r>
      <rPr>
        <vertAlign val="superscript"/>
        <sz val="8"/>
        <rFont val="Arial"/>
        <family val="2"/>
      </rPr>
      <t>b</t>
    </r>
    <r>
      <rPr>
        <sz val="8"/>
        <rFont val="Arial"/>
        <family val="2"/>
      </rPr>
      <t xml:space="preserve"> Incluye coloquios, congresos, foros, jornadas, mesas redondas, módulos, paneles de expertos, sesiones académicas, simposios y videoconferencias (hasta 2014).</t>
    </r>
  </si>
  <si>
    <t>Fuente: REDEC, UNAM.</t>
  </si>
  <si>
    <t>UNAM-Costa Rica</t>
  </si>
  <si>
    <t>Sistema Universidad Abierta</t>
  </si>
  <si>
    <t>Educación a distancia</t>
  </si>
  <si>
    <r>
      <t>UNAM. Área construida asignada por función (m</t>
    </r>
    <r>
      <rPr>
        <b/>
        <vertAlign val="superscript"/>
        <sz val="12"/>
        <rFont val="Arial"/>
        <family val="2"/>
      </rPr>
      <t>2</t>
    </r>
    <r>
      <rPr>
        <b/>
        <sz val="12"/>
        <rFont val="Arial"/>
        <family val="2"/>
      </rPr>
      <t>)</t>
    </r>
  </si>
  <si>
    <r>
      <t>a</t>
    </r>
    <r>
      <rPr>
        <sz val="8"/>
        <rFont val="Arial"/>
        <family val="2"/>
      </rPr>
      <t xml:space="preserve"> Incluye áreas de indivisos y edificios de productos.</t>
    </r>
  </si>
  <si>
    <r>
      <t>Otra</t>
    </r>
    <r>
      <rPr>
        <vertAlign val="superscript"/>
        <sz val="10"/>
        <rFont val="Arial"/>
        <family val="2"/>
      </rPr>
      <t>a</t>
    </r>
  </si>
  <si>
    <r>
      <t>UNAM. Gasto por alumno</t>
    </r>
    <r>
      <rPr>
        <b/>
        <vertAlign val="superscript"/>
        <sz val="12"/>
        <rFont val="Arial"/>
        <family val="2"/>
      </rPr>
      <t>a</t>
    </r>
  </si>
  <si>
    <t>CUADRO 38</t>
  </si>
  <si>
    <t>UNAM. Asistencia a actividades en los recintos y espacios del subsistema de difusión cultural</t>
  </si>
  <si>
    <r>
      <t>Incorporación de exbecarios</t>
    </r>
    <r>
      <rPr>
        <vertAlign val="superscript"/>
        <sz val="10"/>
        <rFont val="Arial"/>
        <family val="2"/>
      </rPr>
      <t>a</t>
    </r>
  </si>
  <si>
    <r>
      <t>Total de incorporaciones vigentes</t>
    </r>
    <r>
      <rPr>
        <vertAlign val="superscript"/>
        <sz val="10"/>
        <rFont val="Arial"/>
        <family val="2"/>
      </rPr>
      <t>b</t>
    </r>
  </si>
  <si>
    <r>
      <rPr>
        <vertAlign val="superscript"/>
        <sz val="8"/>
        <rFont val="Arial"/>
        <family val="2"/>
      </rPr>
      <t>a</t>
    </r>
    <r>
      <rPr>
        <sz val="8"/>
        <rFont val="Arial"/>
        <family val="2"/>
      </rPr>
      <t xml:space="preserve"> La incorporación se realiza mediante un contrato como profesor de carrera asociado “C” de tiempo completo por artículo 51 del EPA.</t>
    </r>
  </si>
  <si>
    <r>
      <rPr>
        <vertAlign val="superscript"/>
        <sz val="8"/>
        <rFont val="Arial"/>
        <family val="2"/>
      </rPr>
      <t>b</t>
    </r>
    <r>
      <rPr>
        <sz val="8"/>
        <rFont val="Arial"/>
        <family val="2"/>
      </rPr>
      <t xml:space="preserve"> La incorporación se realiza mediante un contrato como profesora o investigadora asociado “C” de tiempo completo por artículo 51 del EPA.</t>
    </r>
  </si>
  <si>
    <t>En el PNPC por nivel</t>
  </si>
  <si>
    <t>PREI</t>
  </si>
  <si>
    <t>PREI: Programa de Estancias de Investigación</t>
  </si>
  <si>
    <t>2016-2017</t>
  </si>
  <si>
    <r>
      <t>b</t>
    </r>
    <r>
      <rPr>
        <sz val="8"/>
        <rFont val="Arial"/>
        <family val="2"/>
      </rPr>
      <t xml:space="preserve"> Aspirantes seleccionados y asignados a un plantel-turno. </t>
    </r>
  </si>
  <si>
    <t>UNAM. Demanda de ingreso al bachillerato</t>
  </si>
  <si>
    <t>UNAM. Demanda de ingreso a la licenciatura</t>
  </si>
  <si>
    <t>PEDMETI</t>
  </si>
  <si>
    <t>PEDMETI: Programa de Estímulos al Desempeño de Profesores y Técnicos Académicos de Medio Tiempo</t>
  </si>
  <si>
    <t>Fuente: DGOAE, UNAM.</t>
  </si>
  <si>
    <t>UNAM-Reino Unido</t>
  </si>
  <si>
    <t>UNAM-Tucson</t>
  </si>
  <si>
    <t>Actividades</t>
  </si>
  <si>
    <r>
      <t>Licenciatura</t>
    </r>
    <r>
      <rPr>
        <vertAlign val="superscript"/>
        <sz val="10"/>
        <rFont val="Arial"/>
        <family val="2"/>
      </rPr>
      <t>a,b,c</t>
    </r>
  </si>
  <si>
    <t>Computadoras propiedad de la UNAM con acceso a Internet</t>
  </si>
  <si>
    <t>UNAM. Productos de investigación publicados</t>
  </si>
  <si>
    <r>
      <t>Volúmenes en TESIUNAM</t>
    </r>
    <r>
      <rPr>
        <vertAlign val="superscript"/>
        <sz val="10"/>
        <rFont val="Arial"/>
        <family val="2"/>
      </rPr>
      <t>f</t>
    </r>
  </si>
  <si>
    <r>
      <t>Recursos documentales</t>
    </r>
    <r>
      <rPr>
        <b/>
        <vertAlign val="superscript"/>
        <sz val="10"/>
        <rFont val="Arial"/>
        <family val="2"/>
      </rPr>
      <t>a</t>
    </r>
  </si>
  <si>
    <t>UNAM. Tesis dirigidas por investigadores</t>
  </si>
  <si>
    <t>Coordinación de Universidad Abierta y Educación a Distancia</t>
  </si>
  <si>
    <t>UNAM. Becas y apoyos a estudiantes por nivel</t>
  </si>
  <si>
    <t>Fuente: Elaborado por la DGPL con datos de las dependencias administradoras de los programas de becas en la UNAM, CONACyT y SSA.</t>
  </si>
  <si>
    <t>CUADRO 17</t>
  </si>
  <si>
    <t>2017-2018</t>
  </si>
  <si>
    <r>
      <t>a</t>
    </r>
    <r>
      <rPr>
        <sz val="8"/>
        <rFont val="Arial"/>
        <family val="2"/>
      </rPr>
      <t xml:space="preserve"> Aspirantes a pase reglamentado que cumplen requisitos para su ingreso a licenciatura (trámite de pase reglamentado liberado).</t>
    </r>
  </si>
  <si>
    <r>
      <t>c</t>
    </r>
    <r>
      <rPr>
        <sz val="8"/>
        <rFont val="Arial"/>
        <family val="2"/>
      </rPr>
      <t xml:space="preserve"> Aspirantes que se registran al concurso de selección.</t>
    </r>
  </si>
  <si>
    <r>
      <t>d</t>
    </r>
    <r>
      <rPr>
        <sz val="8"/>
        <rFont val="Arial"/>
        <family val="2"/>
      </rPr>
      <t xml:space="preserve"> Aspirantes seleccionados y asignados a plantel-carrera. </t>
    </r>
  </si>
  <si>
    <r>
      <t>e</t>
    </r>
    <r>
      <rPr>
        <sz val="8"/>
        <rFont val="Arial"/>
        <family val="2"/>
      </rPr>
      <t> Este ciclo escolar refleja también la demanda y asignación a la modalidad de educación a distancia en el semestre 2014-2.</t>
    </r>
  </si>
  <si>
    <r>
      <t>f</t>
    </r>
    <r>
      <rPr>
        <sz val="8"/>
        <rFont val="Arial"/>
        <family val="2"/>
      </rPr>
      <t> Este ciclo escolar refleja también la demanda y asignación a la modalidad de educación a distancia en el semestre 2015-2.</t>
    </r>
  </si>
  <si>
    <r>
      <t>g</t>
    </r>
    <r>
      <rPr>
        <sz val="8"/>
        <rFont val="Arial"/>
        <family val="2"/>
      </rPr>
      <t> Este ciclo escolar refleja también la demanda y asignación a la modalidad de educación a distancia en el semestre 2016-2.</t>
    </r>
  </si>
  <si>
    <r>
      <t>h</t>
    </r>
    <r>
      <rPr>
        <sz val="8"/>
        <rFont val="Arial"/>
        <family val="2"/>
      </rPr>
      <t> Este ciclo escolar refleja también la demanda y asignación a la modalidad de educación a distancia en el semestre 2017-2.</t>
    </r>
  </si>
  <si>
    <r>
      <t>Demanda</t>
    </r>
    <r>
      <rPr>
        <vertAlign val="superscript"/>
        <sz val="10"/>
        <rFont val="Arial"/>
        <family val="2"/>
      </rPr>
      <t>c</t>
    </r>
  </si>
  <si>
    <r>
      <t>Demanda atendida</t>
    </r>
    <r>
      <rPr>
        <vertAlign val="superscript"/>
        <sz val="10"/>
        <rFont val="Arial"/>
        <family val="2"/>
      </rPr>
      <t>d</t>
    </r>
  </si>
  <si>
    <r>
      <t>2013-2014</t>
    </r>
    <r>
      <rPr>
        <b/>
        <vertAlign val="superscript"/>
        <sz val="10"/>
        <rFont val="Arial"/>
        <family val="2"/>
      </rPr>
      <t>e</t>
    </r>
  </si>
  <si>
    <r>
      <t>2014-2015</t>
    </r>
    <r>
      <rPr>
        <b/>
        <vertAlign val="superscript"/>
        <sz val="10"/>
        <rFont val="Arial"/>
        <family val="2"/>
      </rPr>
      <t>f</t>
    </r>
  </si>
  <si>
    <r>
      <t>2015-2016</t>
    </r>
    <r>
      <rPr>
        <b/>
        <vertAlign val="superscript"/>
        <sz val="10"/>
        <rFont val="Arial"/>
        <family val="2"/>
      </rPr>
      <t>g</t>
    </r>
  </si>
  <si>
    <r>
      <t>2016-2017</t>
    </r>
    <r>
      <rPr>
        <b/>
        <vertAlign val="superscript"/>
        <sz val="10"/>
        <rFont val="Arial"/>
        <family val="2"/>
      </rPr>
      <t>h</t>
    </r>
  </si>
  <si>
    <t>UNAM. Titulación, títulos expedidos y exámenes de grado</t>
  </si>
  <si>
    <r>
      <t>Otras publicaciones</t>
    </r>
    <r>
      <rPr>
        <vertAlign val="superscript"/>
        <sz val="10"/>
        <rFont val="Arial"/>
        <family val="2"/>
      </rPr>
      <t>b</t>
    </r>
  </si>
  <si>
    <t>Explanada de La Espiga</t>
  </si>
  <si>
    <t>Caja Negra del CUT</t>
  </si>
  <si>
    <r>
      <t>b</t>
    </r>
    <r>
      <rPr>
        <sz val="8"/>
        <rFont val="Arial"/>
        <family val="2"/>
      </rPr>
      <t xml:space="preserve"> Se refiere a la suma de títulos reportados por cada biblioteca, por lo que puede existir duplicidad de títulos entre éstas.</t>
    </r>
  </si>
  <si>
    <r>
      <rPr>
        <vertAlign val="superscript"/>
        <sz val="8"/>
        <rFont val="Arial"/>
        <family val="2"/>
      </rPr>
      <t>d</t>
    </r>
    <r>
      <rPr>
        <sz val="8"/>
        <rFont val="Arial"/>
        <family val="2"/>
      </rPr>
      <t xml:space="preserve"> Se refiere al número de fascículos registrados.</t>
    </r>
  </si>
  <si>
    <r>
      <rPr>
        <vertAlign val="superscript"/>
        <sz val="8"/>
        <rFont val="Arial"/>
        <family val="2"/>
      </rPr>
      <t>f</t>
    </r>
    <r>
      <rPr>
        <sz val="8"/>
        <rFont val="Arial"/>
        <family val="2"/>
      </rPr>
      <t xml:space="preserve"> En esta base de datos ya no existen volúmenes en papel.</t>
    </r>
  </si>
  <si>
    <t>CUADRO 13</t>
  </si>
  <si>
    <t>CUADRO 14</t>
  </si>
  <si>
    <t>CUADRO 15</t>
  </si>
  <si>
    <t>CUADRO 29</t>
  </si>
  <si>
    <t>CUADRO 30</t>
  </si>
  <si>
    <t>CUADRO 31</t>
  </si>
  <si>
    <t>CUADRO 32</t>
  </si>
  <si>
    <t>CUADRO 33</t>
  </si>
  <si>
    <t>CUADRO 35</t>
  </si>
  <si>
    <t>CUADRO 36</t>
  </si>
  <si>
    <t>CUADRO 37</t>
  </si>
  <si>
    <t>CUADRO 40</t>
  </si>
  <si>
    <t>UNAM. Becas y apoyos a estudiantes por programa</t>
  </si>
  <si>
    <t>Becas de Excelencia Bécalos UNAM - Bachillerato</t>
  </si>
  <si>
    <t>Programa Nacional de Becas para la Educación Superior - Manutención</t>
  </si>
  <si>
    <t>Programa Nacional de Becas para la Educación Superior - Manutención - Apoya tu Transporte</t>
  </si>
  <si>
    <t>Fondo Nacional de Becas - STUNAM (FONABEC - bachillerato)</t>
  </si>
  <si>
    <t>Programa Nacional de Becas de Educación Media Superior de la SEP (PROBEMS)</t>
  </si>
  <si>
    <t>Programa de Becas Bachillerato Plantel Naucalpan del CCH, UNAM</t>
  </si>
  <si>
    <t>Programa de Becas contra el Abandono Escolar (SEP)</t>
  </si>
  <si>
    <t>Programa de Becas para la Expansión de la Educación Media Superior "Síguele" (SEP)</t>
  </si>
  <si>
    <t>Programa de Estímulos para el Bachillerato Universal, Prepa Sí (GDF)</t>
  </si>
  <si>
    <t>Programa de Becas del Estado de México (PROBEMEX) - (Bachillerato y Licenciatura)</t>
  </si>
  <si>
    <t>Apoyo Nutricional (Fundación UNAM)</t>
  </si>
  <si>
    <t>Apoyo para Transporte: Tarjeta CDMX "Tarifa Estudiantil"</t>
  </si>
  <si>
    <t>Becas para Disminuir el Bajo Rendimiento Académico</t>
  </si>
  <si>
    <t>Programa de Becas de Apoyo Económico a Talentos Deportivos</t>
  </si>
  <si>
    <t>Programa de Permanencia Escolar para Estudiantes de ES del Estado de México</t>
  </si>
  <si>
    <t>Programa de Becas de Movilidad, Servicio Social, Titulación y Excelencia para Licenciatura (SEP-CNBES)</t>
  </si>
  <si>
    <t>Universitarios Prepa Sí (GDF)</t>
  </si>
  <si>
    <t>Programa de Becas SEP - PERAJ</t>
  </si>
  <si>
    <t>Programa de Becas de Servicio Social (SEP - IMJUVE)</t>
  </si>
  <si>
    <t>Programa de Becas Universitarias (SEP)</t>
  </si>
  <si>
    <t>Becas STUNAM, claúsula 90 del Contrato Colectivo de Trabajo (Bachillerato y Licenciatura)</t>
  </si>
  <si>
    <t>Programa de Becas Fundación TELMEX</t>
  </si>
  <si>
    <t>Becas de Servicio Social e Internado de la SSA</t>
  </si>
  <si>
    <t>Becas de Movilidad Estudiantil Internacional, Nivel Licenciatura (DGECI)</t>
  </si>
  <si>
    <t>Programa de Becas de Servicio Social de SEDESOL</t>
  </si>
  <si>
    <t>Programa de Alta Exigencia Académica (PAEA)</t>
  </si>
  <si>
    <r>
      <t>Programa de Fortalecimiento de los Estudios de Licenciatura (PFEL)</t>
    </r>
    <r>
      <rPr>
        <vertAlign val="superscript"/>
        <sz val="10"/>
        <rFont val="Arial"/>
        <family val="2"/>
      </rPr>
      <t>a</t>
    </r>
  </si>
  <si>
    <t>Programa de Becas para la Elaboración de Tesis de Licenciatura (PROBETEL)</t>
  </si>
  <si>
    <t>Programa de Becas de Formación en Tecnologías de la Información (DGTIC)</t>
  </si>
  <si>
    <t>Programa de Becas de la Dirección General de Divulgación de la Ciencia</t>
  </si>
  <si>
    <t>Programa de Becas de TVUNAM</t>
  </si>
  <si>
    <t>Sistema de Becas para Estudiantes de Pueblos Indígenas y Afrodescendientes</t>
  </si>
  <si>
    <t>Programa de Becas de la Coordinación de Universidad Abierta y Educación a Distancia</t>
  </si>
  <si>
    <t>Programa de Fortalecimiento Académico para las Mujeres Universitarias (PFAMU)</t>
  </si>
  <si>
    <t>Apoyo a la Titulación - Egresados de Alto Rendimiento (PVE)</t>
  </si>
  <si>
    <t>Apoyo a la Titulación - Becas para Proyectos de Investigación para la UNAM (PVE)</t>
  </si>
  <si>
    <t>Apoyo a la Titulación - Estudios de Especialización y Egresados Extemporáneos (PVE)</t>
  </si>
  <si>
    <t>Cátedra Fernando Solana</t>
  </si>
  <si>
    <t>Estrategia de Regularización Académica de Alumnos en Condición de Pobreza (IMJUVE)</t>
  </si>
  <si>
    <t>Servicio Social Comunitario</t>
  </si>
  <si>
    <t>Posgrado Maestría Franco Mexicano SEP-UNAM</t>
  </si>
  <si>
    <t>Movilidad Internacional de Estudiantes de Posgrado (CEP)</t>
  </si>
  <si>
    <t>Seminario de Inducción al Programa de Formación de Profesores para el Bachillerato Universitario</t>
  </si>
  <si>
    <t>Programa de Formación de Profesores para el Bachillerato Universitario (MADEMS)</t>
  </si>
  <si>
    <t>Programa de Estímulos para la Graduación Oportuna (PEGO)</t>
  </si>
  <si>
    <r>
      <t>n.d.</t>
    </r>
    <r>
      <rPr>
        <vertAlign val="superscript"/>
        <sz val="10"/>
        <rFont val="Arial"/>
        <family val="2"/>
      </rPr>
      <t>e</t>
    </r>
  </si>
  <si>
    <t>Programa de Apoyo a los Estudios de Posgrado (PAEP)</t>
  </si>
  <si>
    <t>Becarios en Especialidades Médicas (SSA)</t>
  </si>
  <si>
    <r>
      <t>Programa de Becas para Estudios de Posgrado en la UNAM (PBEP) -</t>
    </r>
    <r>
      <rPr>
        <vertAlign val="superscript"/>
        <sz val="10"/>
        <rFont val="Arial"/>
        <family val="2"/>
      </rPr>
      <t xml:space="preserve"> </t>
    </r>
    <r>
      <rPr>
        <sz val="10"/>
        <rFont val="Arial"/>
        <family val="2"/>
      </rPr>
      <t>Maestría</t>
    </r>
    <r>
      <rPr>
        <vertAlign val="superscript"/>
        <sz val="10"/>
        <rFont val="Arial"/>
        <family val="2"/>
      </rPr>
      <t>b</t>
    </r>
  </si>
  <si>
    <r>
      <t>Programa de Becas para Estudios de Posgrado en la UNAM (PBEP) - Doctorado</t>
    </r>
    <r>
      <rPr>
        <vertAlign val="superscript"/>
        <sz val="10"/>
        <rFont val="Arial"/>
        <family val="2"/>
      </rPr>
      <t>b</t>
    </r>
  </si>
  <si>
    <r>
      <t>a</t>
    </r>
    <r>
      <rPr>
        <sz val="8"/>
        <rFont val="Arial"/>
        <family val="2"/>
      </rPr>
      <t xml:space="preserve"> Estas becas se otorgaron por primera vez en el año 2004 a las entidades que no participaban en el PAEA. A partir de 2005 la becas del PAEA se integraron al PFEL.</t>
    </r>
  </si>
  <si>
    <t>Programa Olimpiadas de la Ciencia SEP-AMC (CNBES)</t>
  </si>
  <si>
    <t>Bécalos UNAM - Bachillerato</t>
  </si>
  <si>
    <r>
      <t>i</t>
    </r>
    <r>
      <rPr>
        <sz val="8"/>
        <rFont val="Arial"/>
        <family val="2"/>
      </rPr>
      <t> Este ciclo escolar refleja también la demanda y asignación a la modalidad de educación a distancia en el semestre 2018-2.</t>
    </r>
  </si>
  <si>
    <r>
      <t>2017-2018</t>
    </r>
    <r>
      <rPr>
        <b/>
        <vertAlign val="superscript"/>
        <sz val="10"/>
        <color indexed="8"/>
        <rFont val="Arial"/>
        <family val="2"/>
      </rPr>
      <t>i</t>
    </r>
  </si>
  <si>
    <t>2018-2019</t>
  </si>
  <si>
    <t>Reconocimientos y estímulos al personal académico</t>
  </si>
  <si>
    <t>Fuentes: DGAE, CGEP, UNAM.</t>
  </si>
  <si>
    <r>
      <t>Exámenes de grado</t>
    </r>
    <r>
      <rPr>
        <b/>
        <vertAlign val="superscript"/>
        <sz val="10"/>
        <rFont val="Arial"/>
        <family val="2"/>
      </rPr>
      <t>b</t>
    </r>
  </si>
  <si>
    <r>
      <t>UNAM. Titulación</t>
    </r>
    <r>
      <rPr>
        <b/>
        <vertAlign val="superscript"/>
        <sz val="12"/>
        <rFont val="Arial"/>
        <family val="2"/>
      </rPr>
      <t>a</t>
    </r>
    <r>
      <rPr>
        <b/>
        <sz val="12"/>
        <rFont val="Arial"/>
        <family val="2"/>
      </rPr>
      <t>, títulos expedidos y exámenes de grado</t>
    </r>
  </si>
  <si>
    <t>Beca para Apoyo a Grupos Vulnerables Provenientes de Zonas Marginadas del País</t>
  </si>
  <si>
    <t>Beca para Estudiantes con Alguna Discapacidad (CBSEMS)</t>
  </si>
  <si>
    <t>Programa Adopte un Talento (PAUTA)</t>
  </si>
  <si>
    <t>Técnico profesional</t>
  </si>
  <si>
    <t>Fuentes: DGAPA, CIC, CH, CUAED, UNAM.</t>
  </si>
  <si>
    <t>Fuentes: CRAI, CEPE, UNAM.</t>
  </si>
  <si>
    <t>Dirección General de Planeación</t>
  </si>
  <si>
    <t>2019-2020</t>
  </si>
  <si>
    <r>
      <t>j</t>
    </r>
    <r>
      <rPr>
        <sz val="8"/>
        <rFont val="Arial"/>
        <family val="2"/>
      </rPr>
      <t> Este ciclo escolar refleja también la demanda y asignación a la modalidad de educación a distancia en el semestre 2019-2.</t>
    </r>
  </si>
  <si>
    <r>
      <t>2018-2019</t>
    </r>
    <r>
      <rPr>
        <b/>
        <vertAlign val="superscript"/>
        <sz val="10"/>
        <rFont val="Arial"/>
        <family val="2"/>
      </rPr>
      <t>j</t>
    </r>
  </si>
  <si>
    <r>
      <t>b</t>
    </r>
    <r>
      <rPr>
        <sz val="8"/>
        <rFont val="Arial"/>
        <family val="2"/>
      </rPr>
      <t xml:space="preserve"> Aspirantes con pase reglamentado liberado asignados a su plantel-carrera. </t>
    </r>
  </si>
  <si>
    <t>CUADRO 34</t>
  </si>
  <si>
    <t>PEDPACMeT</t>
  </si>
  <si>
    <t>PEE</t>
  </si>
  <si>
    <t>PEDPACMeT: Programa de Estímulos al Desempeño del Personal Acádemico de Carrera de Medio Tiempo para el Fortalecimiento de la Docencia</t>
  </si>
  <si>
    <t>Especialidades</t>
  </si>
  <si>
    <t>Becas Benito Juárez</t>
  </si>
  <si>
    <t>Programa de Desarrollo Social Permanencia Escolar para Estudiantes de Educación Media Superior en el Estado de México</t>
  </si>
  <si>
    <t>Becas para Alumnos Deportistas de Equipos Representativos</t>
  </si>
  <si>
    <r>
      <t>Becas de Excelencia Bécalos UNAM - Licenciatura</t>
    </r>
    <r>
      <rPr>
        <vertAlign val="superscript"/>
        <sz val="10"/>
        <rFont val="Arial"/>
        <family val="2"/>
      </rPr>
      <t>c</t>
    </r>
  </si>
  <si>
    <t>CUADRO 12a</t>
  </si>
  <si>
    <t>Publicaciones periódicas (fascículos de revistas)</t>
  </si>
  <si>
    <t>CUADRO VIII</t>
  </si>
  <si>
    <t>12a</t>
  </si>
  <si>
    <t>UNAM. Becarios y apoyos a estudiantes por nivel</t>
  </si>
  <si>
    <t>VIII</t>
  </si>
  <si>
    <r>
      <t>UNAM. Área construida asignada por función (m</t>
    </r>
    <r>
      <rPr>
        <vertAlign val="superscript"/>
        <sz val="12"/>
        <color indexed="56"/>
        <rFont val="Arial"/>
        <family val="2"/>
      </rPr>
      <t>2</t>
    </r>
    <r>
      <rPr>
        <sz val="12"/>
        <color indexed="56"/>
        <rFont val="Arial"/>
        <family val="2"/>
      </rPr>
      <t>)</t>
    </r>
  </si>
  <si>
    <t>Becas MADEMS (integradas al PBEP-CGEP)</t>
  </si>
  <si>
    <r>
      <t>Salas de videoconferencia en la UNAM</t>
    </r>
    <r>
      <rPr>
        <b/>
        <vertAlign val="superscript"/>
        <sz val="10"/>
        <rFont val="Arial"/>
        <family val="2"/>
      </rPr>
      <t>c</t>
    </r>
  </si>
  <si>
    <t>UNAM. Programas educativos</t>
  </si>
  <si>
    <t>Mapas digitales</t>
  </si>
  <si>
    <t>ÍNDICE DE CUADROS</t>
  </si>
  <si>
    <t>UNAM. Estudiantes extranjeros en cursos impartidos en sedes nacionales e internacionales</t>
  </si>
  <si>
    <r>
      <rPr>
        <vertAlign val="superscript"/>
        <sz val="8"/>
        <rFont val="Arial"/>
        <family val="2"/>
      </rPr>
      <t>c</t>
    </r>
    <r>
      <rPr>
        <vertAlign val="superscript"/>
        <sz val="10"/>
        <rFont val="Arial"/>
        <family val="2"/>
      </rPr>
      <t xml:space="preserve"> </t>
    </r>
    <r>
      <rPr>
        <sz val="8"/>
        <rFont val="Arial"/>
        <family val="2"/>
      </rPr>
      <t>Nombres anteriores de esta beca: Bécalos UNAM - Manutención Licenciatura y Bécalos PRONABES-UNAM Licenciatura.</t>
    </r>
  </si>
  <si>
    <t>2020-2021</t>
  </si>
  <si>
    <r>
      <t>c</t>
    </r>
    <r>
      <rPr>
        <sz val="8"/>
        <rFont val="Arial"/>
        <family val="2"/>
      </rPr>
      <t> El criterio para medir el egreso de la carrera Médico Cirujano en la Facultad de Medicina y en FES Zaragoza fue revisado en 2015-2016, ya que anteriormente incluía a los alumnos que se encontraban haciendo su servicio social.</t>
    </r>
  </si>
  <si>
    <t>CUADRO 21</t>
  </si>
  <si>
    <t>Académicos apoyados</t>
  </si>
  <si>
    <t>CUADRO 22</t>
  </si>
  <si>
    <t>CUADRO 24</t>
  </si>
  <si>
    <t>Programa piloto para el fortalecimiento de la planta docente del bachillerato</t>
  </si>
  <si>
    <t>Plazas creadas</t>
  </si>
  <si>
    <t>Área construida 2000-2020</t>
  </si>
  <si>
    <r>
      <t>a</t>
    </r>
    <r>
      <rPr>
        <sz val="8"/>
        <rFont val="Arial"/>
        <family val="2"/>
      </rPr>
      <t xml:space="preserve"> Se refiere a los alumnos con 95% o más de los créditos cubiertos. A partir de 2015-2016, para el cálculo de este indicador se consideró un porcentaje de créditos cubiertos superior al 98%.</t>
    </r>
  </si>
  <si>
    <r>
      <t>k</t>
    </r>
    <r>
      <rPr>
        <sz val="8"/>
        <rFont val="Arial"/>
        <family val="2"/>
      </rPr>
      <t> Este ciclo escolar refleja también la demanda y asignación a la modalidad de educación a distancia en el semestre 2020-2.</t>
    </r>
  </si>
  <si>
    <r>
      <t>2019-2020</t>
    </r>
    <r>
      <rPr>
        <b/>
        <vertAlign val="superscript"/>
        <sz val="10"/>
        <rFont val="Arial"/>
        <family val="2"/>
      </rPr>
      <t>k</t>
    </r>
  </si>
  <si>
    <r>
      <t>b</t>
    </r>
    <r>
      <rPr>
        <sz val="8"/>
        <rFont val="Arial"/>
        <family val="2"/>
      </rPr>
      <t xml:space="preserve"> Incluye conferencias, mesas de venta, ferias, lecturas literarias, mesas redondas, multidisciplinarias, presentación de publicaciones, ceremonias y talleres; todos con fines literarios.</t>
    </r>
  </si>
  <si>
    <r>
      <t xml:space="preserve">p </t>
    </r>
    <r>
      <rPr>
        <sz val="8"/>
        <rFont val="Arial"/>
        <family val="2"/>
      </rPr>
      <t>Cifras preliminares.</t>
    </r>
  </si>
  <si>
    <t>Revistas impresas</t>
  </si>
  <si>
    <t>Renovaciones de libros (presencial)</t>
  </si>
  <si>
    <t>CUADRO 12</t>
  </si>
  <si>
    <t>Programa Piloto de Becas de Titulación en la Facultad de Filosofía y Letras</t>
  </si>
  <si>
    <t>Becas Perímetro de México</t>
  </si>
  <si>
    <r>
      <rPr>
        <vertAlign val="superscript"/>
        <sz val="8"/>
        <rFont val="Arial"/>
        <family val="2"/>
      </rPr>
      <t>a</t>
    </r>
    <r>
      <rPr>
        <sz val="8"/>
        <rFont val="Arial"/>
        <family val="2"/>
      </rPr>
      <t xml:space="preserve"> En esta serie estadística se incluyen las becas otorgadas por el CONACyT (maestría y doctorado), y a partir del ciclo escolar 2012-2013 por la SSA (especialización).</t>
    </r>
  </si>
  <si>
    <r>
      <t>Actividades literarias</t>
    </r>
    <r>
      <rPr>
        <vertAlign val="superscript"/>
        <sz val="10"/>
        <rFont val="Arial"/>
        <family val="2"/>
      </rPr>
      <t>b</t>
    </r>
  </si>
  <si>
    <r>
      <t>Otras actividades</t>
    </r>
    <r>
      <rPr>
        <vertAlign val="superscript"/>
        <sz val="10"/>
        <rFont val="Arial"/>
        <family val="2"/>
      </rPr>
      <t>c</t>
    </r>
  </si>
  <si>
    <t>PAPIME: Programa de Apoyo a Proyectos para la Innovar y Mejorar la Educación</t>
  </si>
  <si>
    <t>UNAM. Población escolar de 1970 a 2021</t>
  </si>
  <si>
    <t>UNAM. Población escolar de 1987 a 2021</t>
  </si>
  <si>
    <t>UNAM. Población escolar de bachillerato 1924 a 2021</t>
  </si>
  <si>
    <t>UNAM. Población escolar de primer ingreso 1924 a 2021</t>
  </si>
  <si>
    <t>UNAM. Titulados de licenciatura de 1924 a 2020</t>
  </si>
  <si>
    <t>UNAM. Titulación, diplomas de especialización y grados otorgados 1924 a 2020</t>
  </si>
  <si>
    <t>UNAM. Demanda e ingreso a bachillerato y licenciatura 1975-2021</t>
  </si>
  <si>
    <t>2000-2022</t>
  </si>
  <si>
    <t>Fuentes: CIC, CH, CGPL, UNAM.</t>
  </si>
  <si>
    <r>
      <t>Nota: Los académicos adscritos a la CUAIEED están contabilizados en el grupo de</t>
    </r>
    <r>
      <rPr>
        <i/>
        <sz val="8"/>
        <rFont val="Arial"/>
        <family val="2"/>
      </rPr>
      <t xml:space="preserve"> Otras dependencias</t>
    </r>
    <r>
      <rPr>
        <sz val="8"/>
        <rFont val="Arial"/>
        <family val="2"/>
      </rPr>
      <t>.</t>
    </r>
  </si>
  <si>
    <t>Fuente: Cifras obtenidas por la CGPL a partir de las nóminas proporcionadas por la DGPE, UNAM.</t>
  </si>
  <si>
    <t>Dirección General de Cooperación e Internacionalización</t>
  </si>
  <si>
    <r>
      <t>2020</t>
    </r>
    <r>
      <rPr>
        <b/>
        <vertAlign val="superscript"/>
        <sz val="10"/>
        <rFont val="Arial"/>
        <family val="2"/>
      </rPr>
      <t>a</t>
    </r>
  </si>
  <si>
    <r>
      <rPr>
        <vertAlign val="superscript"/>
        <sz val="8"/>
        <color indexed="18"/>
        <rFont val="Arial"/>
        <family val="2"/>
      </rPr>
      <t>a</t>
    </r>
    <r>
      <rPr>
        <sz val="8"/>
        <color indexed="18"/>
        <rFont val="Arial"/>
        <family val="2"/>
      </rPr>
      <t xml:space="preserve"> Derivado de la suspensión de labores presenciales universitarias por la emergencia sanitaria de COVID-19, se incluye el número de actividades presenciales y en línea.</t>
    </r>
  </si>
  <si>
    <r>
      <rPr>
        <vertAlign val="superscript"/>
        <sz val="8"/>
        <color indexed="18"/>
        <rFont val="Arial"/>
        <family val="2"/>
      </rPr>
      <t>a</t>
    </r>
    <r>
      <rPr>
        <sz val="8"/>
        <color indexed="18"/>
        <rFont val="Arial"/>
        <family val="2"/>
      </rPr>
      <t xml:space="preserve"> Derivado de la suspensión de labores presenciales universitarias por la emergencia sanitaria de COVID-19, se incluye el número de asistentes presenciales y usuarios en línea conectados en el momento del evento.</t>
    </r>
  </si>
  <si>
    <t>Fecha de última actualización: 25-II-2022</t>
  </si>
  <si>
    <t>Fecha de corte:16-I-2022</t>
  </si>
  <si>
    <t>Especialidades Médicas*</t>
  </si>
  <si>
    <r>
      <t>En Desarrollo</t>
    </r>
    <r>
      <rPr>
        <b/>
        <vertAlign val="superscript"/>
        <sz val="10"/>
        <rFont val="Arial"/>
        <family val="2"/>
      </rPr>
      <t>b</t>
    </r>
  </si>
  <si>
    <r>
      <t>81</t>
    </r>
    <r>
      <rPr>
        <b/>
        <vertAlign val="superscript"/>
        <sz val="10"/>
        <color indexed="18"/>
        <rFont val="Arial"/>
        <family val="2"/>
      </rPr>
      <t>a</t>
    </r>
  </si>
  <si>
    <t>2021-2022</t>
  </si>
  <si>
    <t>Fecha de última actualización: 1-III-2022</t>
  </si>
  <si>
    <r>
      <t>l</t>
    </r>
    <r>
      <rPr>
        <sz val="8"/>
        <rFont val="Arial"/>
        <family val="2"/>
      </rPr>
      <t> Este ciclo escolar refleja también la demanda y asignación a la modalidad de educación a distancia en el semestre 2021-2.</t>
    </r>
  </si>
  <si>
    <r>
      <t>2020-2021</t>
    </r>
    <r>
      <rPr>
        <b/>
        <vertAlign val="superscript"/>
        <sz val="10"/>
        <rFont val="Arial"/>
        <family val="2"/>
      </rPr>
      <t>l</t>
    </r>
  </si>
  <si>
    <r>
      <t>Otras actividades</t>
    </r>
    <r>
      <rPr>
        <b/>
        <vertAlign val="superscript"/>
        <sz val="10"/>
        <rFont val="Arial"/>
        <family val="2"/>
      </rPr>
      <t>c,d</t>
    </r>
  </si>
  <si>
    <r>
      <rPr>
        <vertAlign val="superscript"/>
        <sz val="8"/>
        <color indexed="18"/>
        <rFont val="Arial"/>
        <family val="2"/>
      </rPr>
      <t>a</t>
    </r>
    <r>
      <rPr>
        <sz val="8"/>
        <color indexed="18"/>
        <rFont val="Arial"/>
        <family val="2"/>
      </rPr>
      <t xml:space="preserve"> Los recintos del CCU permanecieron cerrados desde finales de marzo de 2020, debido a la contingencia sanitaria.</t>
    </r>
  </si>
  <si>
    <r>
      <rPr>
        <vertAlign val="superscript"/>
        <sz val="8"/>
        <color indexed="18"/>
        <rFont val="Arial"/>
        <family val="2"/>
      </rPr>
      <t>b</t>
    </r>
    <r>
      <rPr>
        <sz val="8"/>
        <color indexed="18"/>
        <rFont val="Arial"/>
        <family val="2"/>
      </rPr>
      <t xml:space="preserve"> Los recintos del CCU abrieron sus puertas el 1 de octubre de 2021 con aforo controlado.</t>
    </r>
  </si>
  <si>
    <t>UNAM-Alemania</t>
  </si>
  <si>
    <t>UNAM-Boston</t>
  </si>
  <si>
    <t>UNAM-Sudáfrica</t>
  </si>
  <si>
    <t>1986-2021: Agendas Estadísticas, UNAM.</t>
  </si>
  <si>
    <t>2022: DGAE, UNAM.</t>
  </si>
  <si>
    <t>FUENTE: Elaborado por la CGPL con datos de:</t>
  </si>
  <si>
    <r>
      <t>2020</t>
    </r>
    <r>
      <rPr>
        <b/>
        <vertAlign val="superscript"/>
        <sz val="10"/>
        <rFont val="Arial"/>
        <family val="2"/>
      </rPr>
      <t>g</t>
    </r>
  </si>
  <si>
    <t>Asistencia a las bibliotecas</t>
  </si>
  <si>
    <t>Préstamo a domicilio (libros)</t>
  </si>
  <si>
    <r>
      <rPr>
        <vertAlign val="superscript"/>
        <sz val="8"/>
        <rFont val="Arial"/>
        <family val="2"/>
      </rPr>
      <t>g</t>
    </r>
    <r>
      <rPr>
        <sz val="8"/>
        <rFont val="Arial"/>
        <family val="2"/>
      </rPr>
      <t xml:space="preserve"> Asistencia y préstamos hasta el 23 de marzo de 2020.</t>
    </r>
  </si>
  <si>
    <t>Supercómputo</t>
  </si>
  <si>
    <r>
      <t>d</t>
    </r>
    <r>
      <rPr>
        <sz val="8"/>
        <rFont val="Arial"/>
        <family val="2"/>
      </rPr>
      <t xml:space="preserve"> La capacidad de supercómputo disminuyó en 2020 por mantenimiento.</t>
    </r>
  </si>
  <si>
    <r>
      <t>c</t>
    </r>
    <r>
      <rPr>
        <sz val="8"/>
        <rFont val="Arial"/>
        <family val="2"/>
      </rPr>
      <t xml:space="preserve"> Se refiere solamente a las Salas de Videoconferencia registradas en el protocolo H.323 hasta 2019.</t>
    </r>
  </si>
  <si>
    <r>
      <t>Capacidad de procesamiento (Gflops</t>
    </r>
    <r>
      <rPr>
        <vertAlign val="superscript"/>
        <sz val="10"/>
        <rFont val="Arial"/>
        <family val="2"/>
      </rPr>
      <t>a</t>
    </r>
    <r>
      <rPr>
        <sz val="10"/>
        <rFont val="Arial"/>
        <family val="2"/>
      </rPr>
      <t>)</t>
    </r>
    <r>
      <rPr>
        <vertAlign val="superscript"/>
        <sz val="10"/>
        <rFont val="Arial"/>
        <family val="2"/>
      </rPr>
      <t>b</t>
    </r>
  </si>
  <si>
    <t>Servidor central</t>
  </si>
  <si>
    <t>En la UNAM</t>
  </si>
  <si>
    <r>
      <t xml:space="preserve">Subdominios </t>
    </r>
    <r>
      <rPr>
        <b/>
        <i/>
        <sz val="10"/>
        <rFont val="Arial"/>
        <family val="2"/>
      </rPr>
      <t>web</t>
    </r>
  </si>
  <si>
    <r>
      <rPr>
        <vertAlign val="superscript"/>
        <sz val="8"/>
        <color indexed="18"/>
        <rFont val="Arial"/>
        <family val="2"/>
      </rPr>
      <t>p</t>
    </r>
    <r>
      <rPr>
        <sz val="8"/>
        <color indexed="18"/>
        <rFont val="Arial"/>
        <family val="2"/>
      </rPr>
      <t xml:space="preserve"> Cifras preliminares.</t>
    </r>
  </si>
  <si>
    <r>
      <t xml:space="preserve">Licencias de </t>
    </r>
    <r>
      <rPr>
        <b/>
        <i/>
        <sz val="10"/>
        <rFont val="Arial"/>
        <family val="2"/>
      </rPr>
      <t>software</t>
    </r>
    <r>
      <rPr>
        <b/>
        <sz val="10"/>
        <rFont val="Arial"/>
        <family val="2"/>
      </rPr>
      <t xml:space="preserve"> para sesiones virtuales</t>
    </r>
  </si>
  <si>
    <t>Fuente: CDC, DGBSDI, UNAM.</t>
  </si>
  <si>
    <t>Fuente: DGBSDI, UNAM.</t>
  </si>
  <si>
    <r>
      <t>a</t>
    </r>
    <r>
      <rPr>
        <sz val="8"/>
        <rFont val="Arial"/>
        <family val="2"/>
      </rPr>
      <t xml:space="preserve"> Se refiere a </t>
    </r>
    <r>
      <rPr>
        <i/>
        <sz val="8"/>
        <rFont val="Arial"/>
        <family val="2"/>
      </rPr>
      <t>exámenes profesionales y otras opciones de titulación</t>
    </r>
    <r>
      <rPr>
        <sz val="8"/>
        <rFont val="Arial"/>
        <family val="2"/>
      </rPr>
      <t xml:space="preserve"> aprobadas por el Consejo Universitario. No incluye a los técnicos de la ENP.</t>
    </r>
  </si>
  <si>
    <t>Becas UNAM-DGECI Iniciación a la Investigación</t>
  </si>
  <si>
    <t>Becas UNAM-DGECI Fortalecimiento Lingüístico Académico</t>
  </si>
  <si>
    <t>Beca tablet con conectividad</t>
  </si>
  <si>
    <r>
      <t>2022</t>
    </r>
    <r>
      <rPr>
        <b/>
        <vertAlign val="superscript"/>
        <sz val="10"/>
        <color indexed="18"/>
        <rFont val="Arial"/>
        <family val="2"/>
      </rPr>
      <t>p</t>
    </r>
  </si>
  <si>
    <r>
      <rPr>
        <vertAlign val="superscript"/>
        <sz val="8"/>
        <rFont val="Arial"/>
        <family val="2"/>
      </rPr>
      <t>d</t>
    </r>
    <r>
      <rPr>
        <sz val="8"/>
        <rFont val="Arial"/>
        <family val="2"/>
      </rPr>
      <t xml:space="preserve"> 2021: Incluye ceremonias, cursos, clases, </t>
    </r>
    <r>
      <rPr>
        <i/>
        <sz val="8"/>
        <rFont val="Arial"/>
        <family val="2"/>
      </rPr>
      <t xml:space="preserve">performance, </t>
    </r>
    <r>
      <rPr>
        <sz val="8"/>
        <rFont val="Arial"/>
        <family val="2"/>
      </rPr>
      <t>festivales y actividades multidisciplinarias.</t>
    </r>
  </si>
  <si>
    <r>
      <t>c</t>
    </r>
    <r>
      <rPr>
        <sz val="8"/>
        <rFont val="Arial"/>
        <family val="2"/>
      </rPr>
      <t xml:space="preserve"> Incluye clases, conferencias, develaciones de placa, festivales, performance, mesas de venta, mesas redondas, presentación de publicaciones, talleres, ceremonias, cursos, lecturas literarias, homenajes, coloquios, concursos, encuentros, seminarios, transmisiones simultáneas, proyecciones de video, visitas guiadas, foros, residencias artísticas y actividades multidisciplinarias.</t>
    </r>
  </si>
  <si>
    <r>
      <rPr>
        <vertAlign val="superscript"/>
        <sz val="8"/>
        <rFont val="Arial"/>
        <family val="2"/>
      </rPr>
      <t>c</t>
    </r>
    <r>
      <rPr>
        <sz val="8"/>
        <rFont val="Arial"/>
        <family val="2"/>
      </rPr>
      <t xml:space="preserve"> Incluye clases, conferencias, develaciones de placa, festivales, </t>
    </r>
    <r>
      <rPr>
        <i/>
        <sz val="8"/>
        <rFont val="Arial"/>
        <family val="2"/>
      </rPr>
      <t>performance</t>
    </r>
    <r>
      <rPr>
        <sz val="8"/>
        <rFont val="Arial"/>
        <family val="2"/>
      </rPr>
      <t>, mesas de venta, mesas redondas, presentación de publicaciones, talleres, ceremonias, cursos, lecturas literarias, homenajes, coloquios, concursos, encuentros, seminarios, transmisiones simultáneas, proyecciones de video, visitas guiadas, foros, residencias artísticas y actividades literarias y multidisciplinarias.</t>
    </r>
  </si>
  <si>
    <t>UNAM. Maestrías y doctorados en el Sistema Nacional de Posgrados (SNP)</t>
  </si>
  <si>
    <t>UNAM. Maestrías y Doctorados en el Sistema Nacional de Posgrados (SNP) del CONACyT</t>
  </si>
  <si>
    <r>
      <t>a</t>
    </r>
    <r>
      <rPr>
        <sz val="9"/>
        <rFont val="Arial"/>
        <family val="2"/>
      </rPr>
      <t xml:space="preserve"> Los programas de posgrado de Ingeniería, Médicas Odontológicas y de la Salud y la Maestría en Docencia para la Educación Media Superior presentaron ante CONACYT sus planes de estudios desagregados por campo de conocimiento. Por lo cual las </t>
    </r>
    <r>
      <rPr>
        <b/>
        <sz val="9"/>
        <rFont val="Arial"/>
        <family val="2"/>
      </rPr>
      <t>81</t>
    </r>
    <r>
      <rPr>
        <sz val="9"/>
        <rFont val="Arial"/>
        <family val="2"/>
      </rPr>
      <t xml:space="preserve"> maestrías y doctorados acreditados en el SNP equivalen a los </t>
    </r>
    <r>
      <rPr>
        <b/>
        <sz val="9"/>
        <rFont val="Arial"/>
        <family val="2"/>
      </rPr>
      <t>97</t>
    </r>
    <r>
      <rPr>
        <sz val="9"/>
        <rFont val="Arial"/>
        <family val="2"/>
      </rPr>
      <t xml:space="preserve"> programas reportados por CONACYT.</t>
    </r>
  </si>
  <si>
    <r>
      <rPr>
        <vertAlign val="superscript"/>
        <sz val="9"/>
        <rFont val="Arial"/>
        <family val="2"/>
      </rPr>
      <t>b</t>
    </r>
    <r>
      <rPr>
        <sz val="9"/>
        <rFont val="Arial"/>
        <family val="2"/>
      </rPr>
      <t xml:space="preserve"> Si bien el CONACYT acreditó en el  SNP el </t>
    </r>
    <r>
      <rPr>
        <b/>
        <sz val="9"/>
        <rFont val="Arial"/>
        <family val="2"/>
      </rPr>
      <t>Plan de Estudios Combinados en Medicina (PECEM)</t>
    </r>
    <r>
      <rPr>
        <sz val="9"/>
        <rFont val="Arial"/>
        <family val="2"/>
      </rPr>
      <t xml:space="preserve"> como un </t>
    </r>
    <r>
      <rPr>
        <b/>
        <sz val="9"/>
        <rFont val="Arial"/>
        <family val="2"/>
      </rPr>
      <t>Doctorado</t>
    </r>
    <r>
      <rPr>
        <sz val="9"/>
        <rFont val="Arial"/>
        <family val="2"/>
      </rPr>
      <t xml:space="preserve"> con reconocimiento en el nivel en </t>
    </r>
    <r>
      <rPr>
        <b/>
        <sz val="9"/>
        <rFont val="Arial"/>
        <family val="2"/>
      </rPr>
      <t xml:space="preserve">Desarrollo, </t>
    </r>
    <r>
      <rPr>
        <sz val="9"/>
        <rFont val="Arial"/>
        <family val="2"/>
      </rPr>
      <t>no se incluye en el esquema general de los posgrados de la UNAM, puesto que, de acuerdo a una interpretación del Abogado General, se trata de un plan de estudios combinados -licenciatura y posgrado-, proyectado y creado de manera especial, independiente, separado de cualquier otro plan de estudios o programa de posgrado, pensado y estructurado curricularmente para articular los contenidos y la enseñanza de la licenciatura con el doctorado en Medicina.</t>
    </r>
  </si>
  <si>
    <t>UNAM. Especializaciones en el Sistema Nacional de Posgrados (SNP) del CONACyT</t>
  </si>
  <si>
    <t>Fuente: Coordinación General de Estudios de Posgrado, UNAM. Sistema de Consultas SNP, CONACYT*</t>
  </si>
  <si>
    <r>
      <rPr>
        <vertAlign val="superscript"/>
        <sz val="8"/>
        <rFont val="Arial"/>
        <family val="2"/>
      </rPr>
      <t>a</t>
    </r>
    <r>
      <rPr>
        <sz val="8"/>
        <rFont val="Arial"/>
        <family val="2"/>
      </rPr>
      <t xml:space="preserve"> El gasto por alumno en la UNAM se define como el cociente que resulta de dividir el gasto total que realiza la institución en la función docente, financiado únicamente con recursos federales (subsidio), entre la población escolar total.  </t>
    </r>
  </si>
  <si>
    <t>Fecha de corte:  8-XII-2022</t>
  </si>
  <si>
    <t>Fecha de última actualización:  8-XII-2022</t>
  </si>
  <si>
    <t>2000-2023</t>
  </si>
  <si>
    <t>Fuentes: CIC, CH, CGPL. UNAM.</t>
  </si>
  <si>
    <t>Fecha de corte: 31-XII-2022</t>
  </si>
  <si>
    <r>
      <rPr>
        <vertAlign val="superscript"/>
        <sz val="8"/>
        <rFont val="Arial"/>
        <family val="2"/>
      </rPr>
      <t>b</t>
    </r>
    <r>
      <rPr>
        <vertAlign val="superscript"/>
        <sz val="12"/>
        <rFont val="Arial"/>
        <family val="2"/>
      </rPr>
      <t xml:space="preserve"> </t>
    </r>
    <r>
      <rPr>
        <sz val="8"/>
        <rFont val="Arial"/>
        <family val="2"/>
      </rPr>
      <t>A partir de 2012 el programa de Habilidades Genéricas se integró al PASD-Bachillerato.</t>
    </r>
  </si>
  <si>
    <r>
      <t>2021</t>
    </r>
    <r>
      <rPr>
        <b/>
        <vertAlign val="superscript"/>
        <sz val="10"/>
        <rFont val="Arial"/>
        <family val="2"/>
      </rPr>
      <t>a</t>
    </r>
  </si>
  <si>
    <t>CUADRO 25</t>
  </si>
  <si>
    <t>2022-2023</t>
  </si>
  <si>
    <t>Fecha de corte: 22-02-2023</t>
  </si>
  <si>
    <t>Fecha de última actualización: 22-02-2023</t>
  </si>
  <si>
    <t>2001 a 2023</t>
  </si>
  <si>
    <t>Fecha de última actualización: 28-II-2023</t>
  </si>
  <si>
    <t>Actividades Académicas Nacionales e Internacionales de Larga Duración</t>
  </si>
  <si>
    <t>Fecha de corte: 06-III-2023</t>
  </si>
  <si>
    <t>Fecha de última actualización: 10-III-2023</t>
  </si>
  <si>
    <t>Fecha de corte: 13-III-2023</t>
  </si>
  <si>
    <t>Fecha de última actualización: 14-III-2023</t>
  </si>
  <si>
    <t>Fecha de última actualización: 30-III-2023</t>
  </si>
  <si>
    <t>Fecha de corte: 30-III-2023</t>
  </si>
  <si>
    <r>
      <t>m</t>
    </r>
    <r>
      <rPr>
        <sz val="8"/>
        <color indexed="8"/>
        <rFont val="Arial"/>
        <family val="2"/>
      </rPr>
      <t> Este ciclo escolar refleja también la demanda y asignación a la modalidad de educación a distancia en el semestre 2022-2.</t>
    </r>
  </si>
  <si>
    <r>
      <t>n</t>
    </r>
    <r>
      <rPr>
        <sz val="8"/>
        <color indexed="18"/>
        <rFont val="Arial"/>
        <family val="2"/>
      </rPr>
      <t> Este ciclo escolar refleja también la demanda y asignación a la modalidad de educación a distancia en el semestre 2023-2.</t>
    </r>
  </si>
  <si>
    <r>
      <t>2021-2022</t>
    </r>
    <r>
      <rPr>
        <b/>
        <vertAlign val="superscript"/>
        <sz val="10"/>
        <color indexed="8"/>
        <rFont val="Arial"/>
        <family val="2"/>
      </rPr>
      <t>m</t>
    </r>
  </si>
  <si>
    <r>
      <t>2022-2023</t>
    </r>
    <r>
      <rPr>
        <b/>
        <vertAlign val="superscript"/>
        <sz val="10"/>
        <color indexed="18"/>
        <rFont val="Arial"/>
        <family val="2"/>
      </rPr>
      <t>m</t>
    </r>
  </si>
  <si>
    <t>2001-2022</t>
  </si>
  <si>
    <t>UNAM-China</t>
  </si>
  <si>
    <t>UNAM-Francia</t>
  </si>
  <si>
    <t>Nivel superior</t>
  </si>
  <si>
    <t>Nivel bachillerato y técnico</t>
  </si>
  <si>
    <t>Extensión universitaria</t>
  </si>
  <si>
    <t>Gestión institucional</t>
  </si>
  <si>
    <r>
      <t>2000-2023</t>
    </r>
    <r>
      <rPr>
        <b/>
        <vertAlign val="superscript"/>
        <sz val="12"/>
        <color indexed="56"/>
        <rFont val="Arial"/>
        <family val="2"/>
      </rPr>
      <t>d</t>
    </r>
  </si>
  <si>
    <t>2023*</t>
  </si>
  <si>
    <r>
      <t>b</t>
    </r>
    <r>
      <rPr>
        <sz val="8"/>
        <rFont val="Arial"/>
        <family val="2"/>
      </rPr>
      <t xml:space="preserve"> Calculado con el Presupuesto 2023 aprobado por el H. Consejo Universitario.</t>
    </r>
  </si>
  <si>
    <r>
      <t>c</t>
    </r>
    <r>
      <rPr>
        <sz val="8"/>
        <rFont val="Arial"/>
        <family val="2"/>
      </rPr>
      <t xml:space="preserve"> Deflactor 2023 = 100.</t>
    </r>
  </si>
  <si>
    <t>Fuente: Cuenta Anual 2000-2022, Presupuesto 2023, UNAM.</t>
  </si>
  <si>
    <t>Fecha de corte: 23-III-2023</t>
  </si>
  <si>
    <t>Fecha de última actualización: 23-III-2023</t>
  </si>
  <si>
    <t>1975-2023</t>
  </si>
  <si>
    <t>1970-2023</t>
  </si>
  <si>
    <t>1987-2023</t>
  </si>
  <si>
    <t>2023: DGAE, UNAM.</t>
  </si>
  <si>
    <t>1987-2022: Agendas Estadísticas, UNAM.</t>
  </si>
  <si>
    <t>1924-2023</t>
  </si>
  <si>
    <t>Agendas Estadísticas 2000-2022, UNAM.</t>
  </si>
  <si>
    <t>Fecha de última actualización: 31-III-2023</t>
  </si>
  <si>
    <r>
      <rPr>
        <vertAlign val="superscript"/>
        <sz val="8"/>
        <rFont val="Arial"/>
        <family val="2"/>
      </rPr>
      <t>e</t>
    </r>
    <r>
      <rPr>
        <sz val="8"/>
        <rFont val="Arial"/>
        <family val="2"/>
      </rPr>
      <t xml:space="preserve"> Cifras de facultades y escuelas estimadas. CGPL, UNAM.</t>
    </r>
  </si>
  <si>
    <t>CUADRO 28</t>
  </si>
  <si>
    <t>Fecha de última actualización 31-III-2023</t>
  </si>
  <si>
    <t>Fecha de última actualización: 10-II-2023</t>
  </si>
  <si>
    <t>1999-2022</t>
  </si>
  <si>
    <t>Fecha de última actualización: 2-V-2023</t>
  </si>
  <si>
    <r>
      <rPr>
        <vertAlign val="superscript"/>
        <sz val="8"/>
        <rFont val="Arial"/>
        <family val="2"/>
      </rPr>
      <t>e</t>
    </r>
    <r>
      <rPr>
        <sz val="8"/>
        <rFont val="Arial"/>
        <family val="2"/>
      </rPr>
      <t xml:space="preserve"> La asistencia a bibliotecas y el préstamo ha disminuido en los últimos años debido al incremento y diversificación de los recursos digitales y servicios de consulta en Internet. En las cifras de 2020, 2021 y 2022 se reflejan los efectos de los cierres de las bibliotecas universitarias por la pandemia.</t>
    </r>
  </si>
  <si>
    <r>
      <t>Registros en TESIUNAM</t>
    </r>
    <r>
      <rPr>
        <vertAlign val="superscript"/>
        <sz val="10"/>
        <rFont val="Arial"/>
        <family val="2"/>
      </rPr>
      <t>h</t>
    </r>
  </si>
  <si>
    <r>
      <rPr>
        <vertAlign val="superscript"/>
        <sz val="8"/>
        <rFont val="Arial"/>
        <family val="2"/>
      </rPr>
      <t>h</t>
    </r>
    <r>
      <rPr>
        <sz val="8"/>
        <rFont val="Arial"/>
        <family val="2"/>
      </rPr>
      <t xml:space="preserve"> Incluye datos de tesis electrónicas en texto completo y microfilmadas.</t>
    </r>
  </si>
  <si>
    <r>
      <t>a</t>
    </r>
    <r>
      <rPr>
        <sz val="8"/>
        <rFont val="Arial"/>
        <family val="2"/>
      </rPr>
      <t xml:space="preserve"> Incluye libros, revistas, tesis, folletos, audiovisuales, microfichas, cartográficos, discos compactos, videodiscos digitales y materiales complementarios. La disminución en las cifras de 2022 se debe a las bajas en materiales de literatura gris, multimedia, microfichas y tesis.</t>
    </r>
  </si>
  <si>
    <r>
      <t>Personas beneficiadas</t>
    </r>
    <r>
      <rPr>
        <b/>
        <vertAlign val="superscript"/>
        <sz val="10"/>
        <rFont val="Arial"/>
        <family val="2"/>
      </rPr>
      <t>a</t>
    </r>
  </si>
  <si>
    <r>
      <rPr>
        <vertAlign val="superscript"/>
        <sz val="8"/>
        <rFont val="Arial"/>
        <family val="2"/>
      </rPr>
      <t>a</t>
    </r>
    <r>
      <rPr>
        <sz val="8"/>
        <rFont val="Arial"/>
        <family val="2"/>
      </rPr>
      <t xml:space="preserve"> A partir de 2013 se contabilizan solamente las </t>
    </r>
    <r>
      <rPr>
        <i/>
        <sz val="8"/>
        <rFont val="Arial"/>
        <family val="2"/>
      </rPr>
      <t>personas beneficiarias directas</t>
    </r>
    <r>
      <rPr>
        <sz val="8"/>
        <rFont val="Arial"/>
        <family val="2"/>
      </rPr>
      <t>.</t>
    </r>
  </si>
  <si>
    <t>Elaboración: Laboratorio de Redes Sociales. IIMAS, UNAM, enero 2023.</t>
  </si>
  <si>
    <t>Fuente: ISI Web of Science, enero 2023.</t>
  </si>
  <si>
    <t>Fecha de corte: enero 2023</t>
  </si>
  <si>
    <t>Fecha de última actualización: 1-III-2023</t>
  </si>
  <si>
    <r>
      <t>Red inalámbrica (cuentas activas)</t>
    </r>
    <r>
      <rPr>
        <vertAlign val="superscript"/>
        <sz val="8"/>
        <rFont val="Arial"/>
        <family val="2"/>
      </rPr>
      <t>d</t>
    </r>
  </si>
  <si>
    <r>
      <t>d</t>
    </r>
    <r>
      <rPr>
        <sz val="8"/>
        <rFont val="Arial"/>
        <family val="2"/>
      </rPr>
      <t xml:space="preserve"> En 2022 se realizó una depuración de usuarios no vigentes.</t>
    </r>
  </si>
  <si>
    <t>Fecha de última actualización: 15-V-2023</t>
  </si>
  <si>
    <r>
      <t>2021</t>
    </r>
    <r>
      <rPr>
        <b/>
        <vertAlign val="superscript"/>
        <sz val="10"/>
        <rFont val="Arial"/>
        <family val="2"/>
      </rPr>
      <t>b</t>
    </r>
  </si>
  <si>
    <t>Fecha de corte: 11-V-2023</t>
  </si>
  <si>
    <t>Fecha de última actualización: 11-V-2023</t>
  </si>
  <si>
    <t>1924-2022</t>
  </si>
  <si>
    <t>2023-2024</t>
  </si>
  <si>
    <t>Fecha de corte: 17-X-2023</t>
  </si>
  <si>
    <t>Fecha de última actualización: 17-X-2023</t>
  </si>
  <si>
    <t>2000 a 2024</t>
  </si>
  <si>
    <t>Fecha de corte: Cierre de ciclo 2022-2023</t>
  </si>
  <si>
    <t>Fecha de última actualización: 13-XI-2023</t>
  </si>
  <si>
    <t>2000-2024</t>
  </si>
  <si>
    <t>Fecha de corte: Enero-2024</t>
  </si>
  <si>
    <t>Fecha de última actualización: Enero-2024</t>
  </si>
  <si>
    <t>1924-2024</t>
  </si>
  <si>
    <t>1986-2023: Agendas Estadísticas, UNAM.</t>
  </si>
  <si>
    <t>2024: DGAE, UNAM.</t>
  </si>
  <si>
    <t>Fuente: Presupuestos 2000-2024, UNAM.</t>
  </si>
  <si>
    <t>Fecha de corte: 15-II-2024</t>
  </si>
  <si>
    <t>Fecha de última actualización: 15-II-2024</t>
  </si>
  <si>
    <t>Fecha de corte: 20-II-2024</t>
  </si>
  <si>
    <t>Fecha de última actualización: 20-II-2024</t>
  </si>
  <si>
    <t>Fuente: SNI, CONAHCyT.</t>
  </si>
  <si>
    <t>2001-2023</t>
  </si>
  <si>
    <t>Fecha de corte: 31-XII-2023</t>
  </si>
  <si>
    <t>Fecha de última actualización: 12-II-2024</t>
  </si>
  <si>
    <t>Fecha de última actualización: 21-II-2024</t>
  </si>
  <si>
    <t>Becas CONAHCyT - Especialización</t>
  </si>
  <si>
    <t>Becas CONAHCyT - Maestría</t>
  </si>
  <si>
    <t>Becas CONAHCyT - Doctorado</t>
  </si>
  <si>
    <t>d Se refiere a becarios con beca completa. No incluye a becarios con beca complementaria a la otorgada por CONAHCyT.</t>
  </si>
  <si>
    <t>Fuente: Elaborado  en la CGPL con datos de las dependencias administradoras de los programas de becas en la UNAM, SSA y CONAHCyT.</t>
  </si>
  <si>
    <t>FOMDOC: Programa de Fomento a la Docencia. A partir del segundo trimestre de 2023, se aplicó lo dispuesto en el aviso publicado en la Gaceta UNAM 17 de febrero en 2007, en el sentido de la cancelación del programa, y se dejó de pagar este estímulo de forma definitiva.</t>
  </si>
  <si>
    <t>PEI: Programa de Estímulos de Iniciación de la Carrera Académica</t>
  </si>
  <si>
    <t>PEE: Estímulos por Equivalencia</t>
  </si>
  <si>
    <t>Fecha de actualización: 27-II-2024</t>
  </si>
  <si>
    <t>2004-2023</t>
  </si>
  <si>
    <t>Fecha de última actualización: 29-II-2024</t>
  </si>
  <si>
    <r>
      <t>2022</t>
    </r>
    <r>
      <rPr>
        <b/>
        <vertAlign val="superscript"/>
        <sz val="10"/>
        <rFont val="Arial"/>
        <family val="2"/>
      </rPr>
      <t>a</t>
    </r>
  </si>
  <si>
    <r>
      <t>2023</t>
    </r>
    <r>
      <rPr>
        <b/>
        <vertAlign val="superscript"/>
        <sz val="10"/>
        <color indexed="18"/>
        <rFont val="Arial"/>
        <family val="2"/>
      </rPr>
      <t>d</t>
    </r>
  </si>
  <si>
    <r>
      <t>d</t>
    </r>
    <r>
      <rPr>
        <sz val="8"/>
        <rFont val="Arial"/>
        <family val="2"/>
      </rPr>
      <t xml:space="preserve"> Contabiliza actividades presenciales y virtuales.</t>
    </r>
  </si>
  <si>
    <r>
      <t xml:space="preserve">d </t>
    </r>
    <r>
      <rPr>
        <sz val="8"/>
        <rFont val="Arial"/>
        <family val="2"/>
      </rPr>
      <t>Contabiliza actividades presenciales y virtuales.</t>
    </r>
  </si>
  <si>
    <r>
      <t>41962</t>
    </r>
    <r>
      <rPr>
        <vertAlign val="superscript"/>
        <sz val="10"/>
        <color indexed="18"/>
        <rFont val="Arial"/>
        <family val="2"/>
      </rPr>
      <t>p</t>
    </r>
  </si>
  <si>
    <r>
      <t>p</t>
    </r>
    <r>
      <rPr>
        <sz val="8"/>
        <color indexed="18"/>
        <rFont val="Arial"/>
        <family val="2"/>
      </rPr>
      <t xml:space="preserve"> Cifra preliminar.</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</si>
</sst>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_(&quot;$&quot;* #,##0.00_);_(&quot;$&quot;* \(#,##0.00\);_(&quot;$&quot;* &quot;-&quot;??_);_(@_)"/>
    <numFmt numFmtId="166" formatCode="_(* #,##0.00_);_(* \(#,##0.00\);_(* &quot;-&quot;??_);_(@_)"/>
    <numFmt numFmtId="167" formatCode="0.0%"/>
    <numFmt numFmtId="168" formatCode="#,##0_ ;\-#,##0\ "/>
    <numFmt numFmtId="169" formatCode="_-* #,##0_-;\-* #,##0_-;_-* &quot;-&quot;??_-;_-@_-"/>
    <numFmt numFmtId="170" formatCode="#,##0.0"/>
    <numFmt numFmtId="171" formatCode="0.0"/>
  </numFmts>
  <fonts count="188">
    <font>
      <sz val="10"/>
      <name val="Arial"/>
      <family val="0"/>
    </font>
    <font>
      <sz val="11"/>
      <color indexed="8"/>
      <name val="Calibri"/>
      <family val="2"/>
    </font>
    <font>
      <sz val="12"/>
      <color indexed="8"/>
      <name val="Calibri"/>
      <family val="2"/>
    </font>
    <font>
      <b/>
      <sz val="12"/>
      <name val="Arial"/>
      <family val="2"/>
    </font>
    <font>
      <b/>
      <sz val="10"/>
      <name val="Arial"/>
      <family val="2"/>
    </font>
    <font>
      <vertAlign val="superscript"/>
      <sz val="10"/>
      <name val="Arial"/>
      <family val="2"/>
    </font>
    <font>
      <vertAlign val="superscript"/>
      <sz val="8"/>
      <name val="Arial"/>
      <family val="2"/>
    </font>
    <font>
      <sz val="8"/>
      <name val="Arial"/>
      <family val="2"/>
    </font>
    <font>
      <i/>
      <sz val="8"/>
      <name val="Arial"/>
      <family val="2"/>
    </font>
    <font>
      <sz val="12"/>
      <name val="Arial"/>
      <family val="2"/>
    </font>
    <font>
      <vertAlign val="superscript"/>
      <sz val="12"/>
      <name val="Arial"/>
      <family val="2"/>
    </font>
    <font>
      <sz val="10"/>
      <color indexed="10"/>
      <name val="Arial"/>
      <family val="2"/>
    </font>
    <font>
      <b/>
      <vertAlign val="superscript"/>
      <sz val="12"/>
      <name val="Arial"/>
      <family val="2"/>
    </font>
    <font>
      <sz val="10"/>
      <color indexed="9"/>
      <name val="Arial"/>
      <family val="2"/>
    </font>
    <font>
      <sz val="10"/>
      <color indexed="20"/>
      <name val="Arial"/>
      <family val="2"/>
    </font>
    <font>
      <b/>
      <vertAlign val="superscript"/>
      <sz val="10"/>
      <name val="Arial"/>
      <family val="2"/>
    </font>
    <font>
      <b/>
      <vertAlign val="superscript"/>
      <sz val="8"/>
      <name val="Arial"/>
      <family val="2"/>
    </font>
    <font>
      <b/>
      <sz val="8"/>
      <name val="Arial"/>
      <family val="2"/>
    </font>
    <font>
      <sz val="10"/>
      <color indexed="54"/>
      <name val="Arial"/>
      <family val="2"/>
    </font>
    <font>
      <sz val="16"/>
      <name val="Arial"/>
      <family val="2"/>
    </font>
    <font>
      <i/>
      <sz val="10"/>
      <name val="Arial"/>
      <family val="2"/>
    </font>
    <font>
      <sz val="9"/>
      <name val="Arial"/>
      <family val="2"/>
    </font>
    <font>
      <sz val="11"/>
      <name val="Arial"/>
      <family val="2"/>
    </font>
    <font>
      <vertAlign val="superscript"/>
      <sz val="11"/>
      <name val="Arial"/>
      <family val="2"/>
    </font>
    <font>
      <vertAlign val="superscript"/>
      <sz val="9"/>
      <name val="Arial"/>
      <family val="2"/>
    </font>
    <font>
      <sz val="10"/>
      <color indexed="23"/>
      <name val="Arial"/>
      <family val="2"/>
    </font>
    <font>
      <sz val="10"/>
      <name val="MS Sans Serif"/>
      <family val="2"/>
    </font>
    <font>
      <sz val="11"/>
      <color indexed="60"/>
      <name val="Calibri"/>
      <family val="2"/>
    </font>
    <font>
      <b/>
      <sz val="11"/>
      <color indexed="8"/>
      <name val="Calibri"/>
      <family val="2"/>
    </font>
    <font>
      <b/>
      <sz val="10"/>
      <color indexed="10"/>
      <name val="Arial"/>
      <family val="2"/>
    </font>
    <font>
      <sz val="10"/>
      <name val="Helv"/>
      <family val="0"/>
    </font>
    <font>
      <sz val="10"/>
      <color indexed="8"/>
      <name val="Arial"/>
      <family val="2"/>
    </font>
    <font>
      <b/>
      <sz val="10"/>
      <color indexed="8"/>
      <name val="Arial"/>
      <family val="2"/>
    </font>
    <font>
      <sz val="11"/>
      <color indexed="8"/>
      <name val="Arial"/>
      <family val="2"/>
    </font>
    <font>
      <vertAlign val="superscript"/>
      <sz val="8"/>
      <color indexed="8"/>
      <name val="Arial"/>
      <family val="2"/>
    </font>
    <font>
      <sz val="8"/>
      <color indexed="8"/>
      <name val="Arial"/>
      <family val="2"/>
    </font>
    <font>
      <b/>
      <sz val="12"/>
      <color indexed="8"/>
      <name val="Arial"/>
      <family val="2"/>
    </font>
    <font>
      <sz val="12"/>
      <color indexed="8"/>
      <name val="Arial"/>
      <family val="2"/>
    </font>
    <font>
      <sz val="9"/>
      <color indexed="8"/>
      <name val="Arial"/>
      <family val="2"/>
    </font>
    <font>
      <sz val="10"/>
      <color indexed="12"/>
      <name val="Arial"/>
      <family val="2"/>
    </font>
    <font>
      <sz val="10"/>
      <color indexed="39"/>
      <name val="Arial"/>
      <family val="2"/>
    </font>
    <font>
      <b/>
      <i/>
      <sz val="10"/>
      <name val="Arial"/>
      <family val="2"/>
    </font>
    <font>
      <u val="single"/>
      <sz val="10"/>
      <color indexed="39"/>
      <name val="Arial"/>
      <family val="2"/>
    </font>
    <font>
      <u val="single"/>
      <sz val="10"/>
      <color indexed="36"/>
      <name val="Arial"/>
      <family val="2"/>
    </font>
    <font>
      <b/>
      <i/>
      <sz val="12"/>
      <name val="Arial"/>
      <family val="2"/>
    </font>
    <font>
      <b/>
      <sz val="12"/>
      <color indexed="8"/>
      <name val="Calibri"/>
      <family val="2"/>
    </font>
    <font>
      <sz val="8"/>
      <color indexed="8"/>
      <name val="Calibri"/>
      <family val="2"/>
    </font>
    <font>
      <b/>
      <sz val="10"/>
      <color indexed="12"/>
      <name val="Arial"/>
      <family val="2"/>
    </font>
    <font>
      <i/>
      <sz val="12"/>
      <name val="Arial"/>
      <family val="2"/>
    </font>
    <font>
      <sz val="8"/>
      <color indexed="23"/>
      <name val="Arial"/>
      <family val="2"/>
    </font>
    <font>
      <sz val="10"/>
      <color indexed="28"/>
      <name val="Arial"/>
      <family val="2"/>
    </font>
    <font>
      <b/>
      <sz val="10"/>
      <color indexed="28"/>
      <name val="Arial"/>
      <family val="2"/>
    </font>
    <font>
      <b/>
      <sz val="9"/>
      <name val="Arial"/>
      <family val="2"/>
    </font>
    <font>
      <b/>
      <sz val="10"/>
      <color indexed="9"/>
      <name val="Arial"/>
      <family val="2"/>
    </font>
    <font>
      <sz val="8"/>
      <color indexed="18"/>
      <name val="Arial"/>
      <family val="2"/>
    </font>
    <font>
      <b/>
      <sz val="10"/>
      <color indexed="18"/>
      <name val="Arial"/>
      <family val="2"/>
    </font>
    <font>
      <b/>
      <sz val="10"/>
      <color indexed="57"/>
      <name val="Arial"/>
      <family val="2"/>
    </font>
    <font>
      <sz val="10"/>
      <color indexed="57"/>
      <name val="Arial"/>
      <family val="2"/>
    </font>
    <font>
      <sz val="10"/>
      <color indexed="18"/>
      <name val="Arial"/>
      <family val="2"/>
    </font>
    <font>
      <b/>
      <vertAlign val="superscript"/>
      <sz val="10"/>
      <color indexed="18"/>
      <name val="Arial"/>
      <family val="2"/>
    </font>
    <font>
      <sz val="11"/>
      <name val="Calibri"/>
      <family val="2"/>
    </font>
    <font>
      <b/>
      <sz val="12"/>
      <name val="Calibri"/>
      <family val="2"/>
    </font>
    <font>
      <i/>
      <sz val="9"/>
      <name val="Arial"/>
      <family val="2"/>
    </font>
    <font>
      <sz val="11"/>
      <color indexed="17"/>
      <name val="Calibri"/>
      <family val="2"/>
    </font>
    <font>
      <i/>
      <sz val="10"/>
      <color indexed="8"/>
      <name val="Arial"/>
      <family val="2"/>
    </font>
    <font>
      <b/>
      <vertAlign val="superscript"/>
      <sz val="10"/>
      <color indexed="8"/>
      <name val="Arial"/>
      <family val="2"/>
    </font>
    <font>
      <i/>
      <sz val="8"/>
      <color indexed="8"/>
      <name val="Arial"/>
      <family val="2"/>
    </font>
    <font>
      <b/>
      <sz val="10"/>
      <color indexed="62"/>
      <name val="Arial"/>
      <family val="2"/>
    </font>
    <font>
      <sz val="10"/>
      <color indexed="56"/>
      <name val="Arial"/>
      <family val="2"/>
    </font>
    <font>
      <b/>
      <sz val="8"/>
      <color indexed="8"/>
      <name val="Arial"/>
      <family val="2"/>
    </font>
    <font>
      <i/>
      <sz val="8"/>
      <color indexed="18"/>
      <name val="Arial"/>
      <family val="2"/>
    </font>
    <font>
      <b/>
      <i/>
      <sz val="10"/>
      <color indexed="8"/>
      <name val="Arial"/>
      <family val="2"/>
    </font>
    <font>
      <i/>
      <sz val="10"/>
      <color indexed="18"/>
      <name val="Arial"/>
      <family val="2"/>
    </font>
    <font>
      <b/>
      <sz val="12"/>
      <color indexed="18"/>
      <name val="Arial"/>
      <family val="2"/>
    </font>
    <font>
      <vertAlign val="superscript"/>
      <sz val="8"/>
      <color indexed="18"/>
      <name val="Arial"/>
      <family val="2"/>
    </font>
    <font>
      <sz val="12"/>
      <color indexed="56"/>
      <name val="Arial"/>
      <family val="2"/>
    </font>
    <font>
      <b/>
      <sz val="12"/>
      <color indexed="56"/>
      <name val="Arial"/>
      <family val="2"/>
    </font>
    <font>
      <vertAlign val="superscript"/>
      <sz val="12"/>
      <color indexed="56"/>
      <name val="Arial"/>
      <family val="2"/>
    </font>
    <font>
      <i/>
      <sz val="10"/>
      <color indexed="56"/>
      <name val="Arial"/>
      <family val="2"/>
    </font>
    <font>
      <b/>
      <sz val="11"/>
      <name val="Arial"/>
      <family val="2"/>
    </font>
    <font>
      <b/>
      <sz val="12"/>
      <color indexed="28"/>
      <name val="Arial"/>
      <family val="2"/>
    </font>
    <font>
      <sz val="8"/>
      <color indexed="28"/>
      <name val="Arial"/>
      <family val="2"/>
    </font>
    <font>
      <sz val="12"/>
      <color indexed="28"/>
      <name val="Arial"/>
      <family val="2"/>
    </font>
    <font>
      <sz val="10"/>
      <color indexed="62"/>
      <name val="Arial"/>
      <family val="2"/>
    </font>
    <font>
      <sz val="8"/>
      <color indexed="62"/>
      <name val="Arial"/>
      <family val="2"/>
    </font>
    <font>
      <i/>
      <sz val="8"/>
      <color indexed="62"/>
      <name val="Arial"/>
      <family val="2"/>
    </font>
    <font>
      <b/>
      <sz val="11"/>
      <color indexed="28"/>
      <name val="Arial"/>
      <family val="2"/>
    </font>
    <font>
      <sz val="12"/>
      <color indexed="18"/>
      <name val="Arial"/>
      <family val="2"/>
    </font>
    <font>
      <b/>
      <i/>
      <sz val="10"/>
      <color indexed="18"/>
      <name val="Arial"/>
      <family val="2"/>
    </font>
    <font>
      <sz val="9"/>
      <color indexed="18"/>
      <name val="Arial"/>
      <family val="2"/>
    </font>
    <font>
      <sz val="11"/>
      <color indexed="18"/>
      <name val="Calibri"/>
      <family val="2"/>
    </font>
    <font>
      <b/>
      <sz val="12"/>
      <color indexed="18"/>
      <name val="Calibri"/>
      <family val="2"/>
    </font>
    <font>
      <b/>
      <sz val="8"/>
      <color indexed="18"/>
      <name val="Arial"/>
      <family val="2"/>
    </font>
    <font>
      <b/>
      <sz val="10"/>
      <color indexed="56"/>
      <name val="Arial"/>
      <family val="2"/>
    </font>
    <font>
      <sz val="8"/>
      <color indexed="56"/>
      <name val="Arial"/>
      <family val="2"/>
    </font>
    <font>
      <b/>
      <vertAlign val="superscript"/>
      <sz val="12"/>
      <color indexed="56"/>
      <name val="Arial"/>
      <family val="2"/>
    </font>
    <font>
      <vertAlign val="superscript"/>
      <sz val="10"/>
      <color indexed="56"/>
      <name val="Arial"/>
      <family val="2"/>
    </font>
    <font>
      <b/>
      <sz val="10"/>
      <color indexed="29"/>
      <name val="Arial"/>
      <family val="2"/>
    </font>
    <font>
      <sz val="10"/>
      <color indexed="2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4"/>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vertAlign val="superscript"/>
      <sz val="10"/>
      <color indexed="1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2"/>
      <color theme="1"/>
      <name val="Calibri"/>
      <family val="2"/>
    </font>
    <font>
      <sz val="8"/>
      <color theme="1"/>
      <name val="Calibri"/>
      <family val="2"/>
    </font>
    <font>
      <b/>
      <sz val="10"/>
      <color theme="1"/>
      <name val="Arial"/>
      <family val="2"/>
    </font>
    <font>
      <sz val="10"/>
      <color theme="1"/>
      <name val="Arial"/>
      <family val="2"/>
    </font>
    <font>
      <sz val="8"/>
      <color theme="1"/>
      <name val="Arial"/>
      <family val="2"/>
    </font>
    <font>
      <sz val="12"/>
      <color theme="1"/>
      <name val="Calibri"/>
      <family val="2"/>
    </font>
    <font>
      <b/>
      <sz val="10"/>
      <color rgb="FFFF0000"/>
      <name val="Arial"/>
      <family val="2"/>
    </font>
    <font>
      <sz val="8"/>
      <color theme="0" tint="-0.4999699890613556"/>
      <name val="Arial"/>
      <family val="2"/>
    </font>
    <font>
      <sz val="10"/>
      <color rgb="FF660066"/>
      <name val="Arial"/>
      <family val="2"/>
    </font>
    <font>
      <b/>
      <sz val="10"/>
      <color theme="8" tint="-0.4999699890613556"/>
      <name val="Arial"/>
      <family val="2"/>
    </font>
    <font>
      <sz val="10"/>
      <color theme="8" tint="-0.4999699890613556"/>
      <name val="Arial"/>
      <family val="2"/>
    </font>
    <font>
      <sz val="10"/>
      <color rgb="FF000090"/>
      <name val="Arial"/>
      <family val="2"/>
    </font>
    <font>
      <sz val="8"/>
      <color rgb="FF000090"/>
      <name val="Arial"/>
      <family val="2"/>
    </font>
    <font>
      <b/>
      <sz val="10"/>
      <color rgb="FF000090"/>
      <name val="Arial"/>
      <family val="2"/>
    </font>
    <font>
      <b/>
      <vertAlign val="superscript"/>
      <sz val="10"/>
      <color rgb="FF000090"/>
      <name val="Arial"/>
      <family val="2"/>
    </font>
    <font>
      <sz val="10"/>
      <color rgb="FF000000"/>
      <name val="Arial"/>
      <family val="2"/>
    </font>
    <font>
      <b/>
      <sz val="10"/>
      <color theme="4" tint="-0.4999699890613556"/>
      <name val="Arial"/>
      <family val="2"/>
    </font>
    <font>
      <sz val="10"/>
      <color theme="3" tint="-0.4999699890613556"/>
      <name val="Arial"/>
      <family val="2"/>
    </font>
    <font>
      <sz val="10"/>
      <color rgb="FF011893"/>
      <name val="Arial"/>
      <family val="2"/>
    </font>
    <font>
      <b/>
      <sz val="10"/>
      <color rgb="FF011893"/>
      <name val="Arial"/>
      <family val="2"/>
    </font>
    <font>
      <sz val="8"/>
      <color rgb="FF011893"/>
      <name val="Arial"/>
      <family val="2"/>
    </font>
    <font>
      <b/>
      <sz val="12"/>
      <color rgb="FF011893"/>
      <name val="Arial"/>
      <family val="2"/>
    </font>
    <font>
      <vertAlign val="superscript"/>
      <sz val="8"/>
      <color rgb="FF011893"/>
      <name val="Arial"/>
      <family val="2"/>
    </font>
    <font>
      <b/>
      <sz val="10"/>
      <color rgb="FF660066"/>
      <name val="Arial"/>
      <family val="2"/>
    </font>
    <font>
      <b/>
      <vertAlign val="superscript"/>
      <sz val="10"/>
      <color rgb="FF011893"/>
      <name val="Arial"/>
      <family val="2"/>
    </font>
    <font>
      <sz val="10"/>
      <color rgb="FF0000FF"/>
      <name val="Arial"/>
      <family val="2"/>
    </font>
    <font>
      <b/>
      <sz val="10"/>
      <color rgb="FF000000"/>
      <name val="Arial"/>
      <family val="2"/>
    </font>
    <font>
      <sz val="12"/>
      <color rgb="FF002060"/>
      <name val="Arial"/>
      <family val="2"/>
    </font>
    <font>
      <sz val="10"/>
      <color rgb="FF002060"/>
      <name val="Arial"/>
      <family val="2"/>
    </font>
    <font>
      <b/>
      <sz val="12"/>
      <color rgb="FF002060"/>
      <name val="Arial"/>
      <family val="2"/>
    </font>
    <font>
      <i/>
      <sz val="10"/>
      <color rgb="FF002060"/>
      <name val="Arial"/>
      <family val="2"/>
    </font>
    <font>
      <i/>
      <sz val="10"/>
      <color theme="1"/>
      <name val="Arial"/>
      <family val="2"/>
    </font>
    <font>
      <b/>
      <i/>
      <sz val="10"/>
      <color theme="1"/>
      <name val="Arial"/>
      <family val="2"/>
    </font>
    <font>
      <i/>
      <sz val="8"/>
      <color theme="1"/>
      <name val="Arial"/>
      <family val="2"/>
    </font>
    <font>
      <sz val="8"/>
      <color rgb="FF660066"/>
      <name val="Arial"/>
      <family val="2"/>
    </font>
    <font>
      <sz val="12"/>
      <color rgb="FF660066"/>
      <name val="Arial"/>
      <family val="2"/>
    </font>
    <font>
      <b/>
      <sz val="12"/>
      <color rgb="FF660066"/>
      <name val="Arial"/>
      <family val="2"/>
    </font>
    <font>
      <sz val="12"/>
      <color theme="1"/>
      <name val="Arial"/>
      <family val="2"/>
    </font>
    <font>
      <b/>
      <sz val="8"/>
      <color theme="1"/>
      <name val="Arial"/>
      <family val="2"/>
    </font>
    <font>
      <b/>
      <sz val="11"/>
      <color rgb="FF660066"/>
      <name val="Arial"/>
      <family val="2"/>
    </font>
    <font>
      <sz val="12"/>
      <color rgb="FF011893"/>
      <name val="Arial"/>
      <family val="2"/>
    </font>
    <font>
      <b/>
      <i/>
      <sz val="10"/>
      <color rgb="FF011893"/>
      <name val="Arial"/>
      <family val="2"/>
    </font>
    <font>
      <i/>
      <sz val="8"/>
      <color rgb="FF011893"/>
      <name val="Arial"/>
      <family val="2"/>
    </font>
    <font>
      <i/>
      <sz val="10"/>
      <color rgb="FF011893"/>
      <name val="Arial"/>
      <family val="2"/>
    </font>
    <font>
      <sz val="9"/>
      <color rgb="FF011893"/>
      <name val="Arial"/>
      <family val="2"/>
    </font>
    <font>
      <sz val="11"/>
      <color rgb="FF011893"/>
      <name val="Calibri"/>
      <family val="2"/>
    </font>
    <font>
      <b/>
      <sz val="12"/>
      <color rgb="FF011893"/>
      <name val="Calibri"/>
      <family val="2"/>
    </font>
    <font>
      <b/>
      <sz val="8"/>
      <color rgb="FF011893"/>
      <name val="Arial"/>
      <family val="2"/>
    </font>
    <font>
      <b/>
      <sz val="10"/>
      <color rgb="FF002060"/>
      <name val="Arial"/>
      <family val="2"/>
    </font>
    <font>
      <vertAlign val="superscript"/>
      <sz val="8"/>
      <color theme="1"/>
      <name val="Arial"/>
      <family val="2"/>
    </font>
    <font>
      <sz val="10"/>
      <color rgb="FF7030A0"/>
      <name val="Arial"/>
      <family val="2"/>
    </font>
    <font>
      <b/>
      <sz val="10"/>
      <color theme="0"/>
      <name val="Arial"/>
      <family val="2"/>
    </font>
    <font>
      <sz val="10"/>
      <color theme="0"/>
      <name val="Arial"/>
      <family val="2"/>
    </font>
    <font>
      <sz val="8"/>
      <color rgb="FF7030A0"/>
      <name val="Arial"/>
      <family val="2"/>
    </font>
    <font>
      <sz val="8"/>
      <color rgb="FF002060"/>
      <name val="Arial"/>
      <family val="2"/>
    </font>
    <font>
      <vertAlign val="superscript"/>
      <sz val="10"/>
      <color rgb="FF002060"/>
      <name val="Arial"/>
      <family val="2"/>
    </font>
    <font>
      <b/>
      <sz val="10"/>
      <color theme="5" tint="0.39998000860214233"/>
      <name val="Arial"/>
      <family val="2"/>
    </font>
    <font>
      <sz val="10"/>
      <color theme="5" tint="0.39998000860214233"/>
      <name val="Arial"/>
      <family val="2"/>
    </font>
    <font>
      <b/>
      <sz val="12"/>
      <color theme="1"/>
      <name val="Arial"/>
      <family val="2"/>
    </font>
    <font>
      <i/>
      <sz val="8"/>
      <color rgb="FF7030A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indexed="55"/>
        <bgColor indexed="64"/>
      </patternFill>
    </fill>
    <fill>
      <patternFill patternType="solid">
        <fgColor theme="0" tint="-0.04997999966144562"/>
        <bgColor indexed="64"/>
      </patternFill>
    </fill>
    <fill>
      <patternFill patternType="solid">
        <fgColor indexed="22"/>
        <bgColor indexed="64"/>
      </patternFill>
    </fill>
    <fill>
      <patternFill patternType="solid">
        <fgColor rgb="FFD9D9D9"/>
        <bgColor indexed="64"/>
      </patternFill>
    </fill>
    <fill>
      <patternFill patternType="solid">
        <fgColor theme="0" tint="-0.24997000396251678"/>
        <bgColor indexed="64"/>
      </patternFill>
    </fill>
    <fill>
      <patternFill patternType="solid">
        <fgColor indexed="9"/>
        <bgColor indexed="64"/>
      </patternFill>
    </fill>
    <fill>
      <patternFill patternType="solid">
        <fgColor theme="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color indexed="62"/>
      </top>
      <bottom style="double">
        <color indexed="62"/>
      </bottom>
    </border>
    <border>
      <left/>
      <right style="hair"/>
      <top/>
      <bottom style="hair"/>
    </border>
    <border>
      <left/>
      <right/>
      <top style="hair"/>
      <bottom/>
    </border>
    <border>
      <left style="hair">
        <color indexed="8"/>
      </left>
      <right style="hair">
        <color indexed="8"/>
      </right>
      <top style="hair">
        <color indexed="8"/>
      </top>
      <bottom style="hair">
        <color indexed="8"/>
      </bottom>
    </border>
    <border>
      <left style="hair"/>
      <right style="hair"/>
      <top/>
      <bottom style="hair"/>
    </border>
    <border>
      <left/>
      <right/>
      <top/>
      <bottom style="hair"/>
    </border>
    <border>
      <left style="hair"/>
      <right/>
      <top style="hair"/>
      <bottom style="hair"/>
    </border>
    <border>
      <left style="hair"/>
      <right/>
      <top/>
      <bottom/>
    </border>
    <border>
      <left style="hair"/>
      <right/>
      <top style="hair"/>
      <bottom/>
    </border>
    <border>
      <left style="hair"/>
      <right style="hair"/>
      <top style="hair"/>
      <bottom/>
    </border>
    <border>
      <left style="hair"/>
      <right style="hair"/>
      <top style="hair"/>
      <bottom style="hair"/>
    </border>
    <border>
      <left style="hair">
        <color indexed="8"/>
      </left>
      <right/>
      <top style="hair">
        <color indexed="8"/>
      </top>
      <bottom style="hair">
        <color indexed="8"/>
      </bottom>
    </border>
    <border>
      <left/>
      <right style="hair">
        <color indexed="8"/>
      </right>
      <top style="hair">
        <color indexed="8"/>
      </top>
      <bottom style="hair">
        <color indexed="8"/>
      </bottom>
    </border>
    <border>
      <left/>
      <right/>
      <top style="hair">
        <color indexed="8"/>
      </top>
      <bottom style="hair">
        <color indexed="8"/>
      </bottom>
    </border>
    <border>
      <left/>
      <right style="hair">
        <color indexed="8"/>
      </right>
      <top/>
      <bottom style="hair">
        <color indexed="8"/>
      </bottom>
    </border>
    <border>
      <left style="hair"/>
      <right style="hair"/>
      <top style="hair"/>
      <bottom style="hair">
        <color indexed="8"/>
      </bottom>
    </border>
    <border>
      <left style="hair">
        <color indexed="8"/>
      </left>
      <right style="hair">
        <color indexed="8"/>
      </right>
      <top style="hair">
        <color indexed="8"/>
      </top>
      <bottom/>
    </border>
    <border>
      <left style="thin"/>
      <right style="thin"/>
      <top style="hair"/>
      <bottom style="thin"/>
    </border>
    <border>
      <left style="hair"/>
      <right style="thin"/>
      <top style="hair"/>
      <bottom style="hair"/>
    </border>
    <border>
      <left style="thin"/>
      <right style="hair"/>
      <top style="hair"/>
      <bottom style="hair"/>
    </border>
    <border>
      <left style="thin"/>
      <right style="thin"/>
      <top style="hair"/>
      <bottom style="hair"/>
    </border>
    <border>
      <left style="thin"/>
      <right/>
      <top style="hair"/>
      <bottom style="hair"/>
    </border>
    <border>
      <left style="thin"/>
      <right style="thin"/>
      <top/>
      <bottom/>
    </border>
    <border>
      <left/>
      <right style="thin"/>
      <top style="hair"/>
      <bottom/>
    </border>
    <border>
      <left style="thin"/>
      <right/>
      <top style="hair"/>
      <bottom/>
    </border>
    <border>
      <left style="thin"/>
      <right style="thin"/>
      <top style="thin"/>
      <bottom style="thin"/>
    </border>
    <border>
      <left/>
      <right style="hair"/>
      <top style="hair"/>
      <bottom style="hair"/>
    </border>
    <border>
      <left style="thin"/>
      <right/>
      <top style="thin"/>
      <bottom style="hair"/>
    </border>
    <border>
      <left/>
      <right/>
      <top style="thin"/>
      <bottom style="hair"/>
    </border>
    <border>
      <left/>
      <right style="thin"/>
      <top style="thin"/>
      <bottom style="hair"/>
    </border>
    <border>
      <left style="thin"/>
      <right/>
      <top style="hair"/>
      <bottom style="thin"/>
    </border>
    <border>
      <left/>
      <right/>
      <top style="hair"/>
      <bottom style="thin"/>
    </border>
    <border>
      <left/>
      <right style="thin"/>
      <top style="hair"/>
      <bottom style="thin"/>
    </border>
    <border>
      <left style="hair"/>
      <right style="thin"/>
      <top style="hair"/>
      <bottom/>
    </border>
    <border>
      <left style="hair"/>
      <right style="thin"/>
      <top/>
      <bottom style="hair"/>
    </border>
    <border>
      <left style="thin"/>
      <right style="hair"/>
      <top style="thin"/>
      <bottom style="hair"/>
    </border>
    <border>
      <left style="hair"/>
      <right style="hair"/>
      <top style="thin"/>
      <bottom style="hair"/>
    </border>
    <border>
      <left style="hair"/>
      <right/>
      <top style="thin"/>
      <bottom style="hair"/>
    </border>
    <border>
      <left style="hair"/>
      <right style="thin"/>
      <top style="thin"/>
      <bottom style="hair"/>
    </border>
    <border>
      <left style="thin"/>
      <right style="thin"/>
      <top style="hair"/>
      <bottom/>
    </border>
    <border>
      <left style="thin"/>
      <right style="thin"/>
      <top/>
      <bottom style="thin"/>
    </border>
    <border>
      <left style="thin"/>
      <right style="hair"/>
      <top style="hair"/>
      <bottom/>
    </border>
    <border>
      <left style="thin"/>
      <right style="hair"/>
      <top/>
      <bottom style="thin"/>
    </border>
    <border>
      <left style="hair"/>
      <right/>
      <top style="hair"/>
      <bottom style="thin"/>
    </border>
    <border>
      <left/>
      <right style="hair"/>
      <top style="hair"/>
      <bottom style="thin"/>
    </border>
    <border>
      <left style="thin"/>
      <right/>
      <top/>
      <bottom/>
    </border>
    <border>
      <left style="thin"/>
      <right/>
      <top/>
      <bottom style="hair"/>
    </border>
    <border>
      <left/>
      <right style="thin"/>
      <top style="hair"/>
      <bottom style="hair"/>
    </border>
    <border>
      <left style="thin"/>
      <right style="thin"/>
      <top style="thin"/>
      <bottom/>
    </border>
    <border>
      <left style="thin"/>
      <right style="thin"/>
      <top/>
      <bottom style="hair"/>
    </border>
    <border>
      <left style="hair">
        <color indexed="8"/>
      </left>
      <right/>
      <top style="hair">
        <color indexed="8"/>
      </top>
      <bottom/>
    </border>
    <border>
      <left/>
      <right/>
      <top style="hair">
        <color indexed="8"/>
      </top>
      <bottom/>
    </border>
    <border>
      <left/>
      <right style="hair">
        <color indexed="8"/>
      </right>
      <top style="hair">
        <color indexed="8"/>
      </top>
      <bottom/>
    </border>
  </borders>
  <cellStyleXfs count="8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3" fillId="2" borderId="0" applyNumberFormat="0" applyBorder="0" applyAlignment="0" applyProtection="0"/>
    <xf numFmtId="0" fontId="113" fillId="3" borderId="0" applyNumberFormat="0" applyBorder="0" applyAlignment="0" applyProtection="0"/>
    <xf numFmtId="0" fontId="113" fillId="4" borderId="0" applyNumberFormat="0" applyBorder="0" applyAlignment="0" applyProtection="0"/>
    <xf numFmtId="0" fontId="113" fillId="5" borderId="0" applyNumberFormat="0" applyBorder="0" applyAlignment="0" applyProtection="0"/>
    <xf numFmtId="0" fontId="113" fillId="6" borderId="0" applyNumberFormat="0" applyBorder="0" applyAlignment="0" applyProtection="0"/>
    <xf numFmtId="0" fontId="113" fillId="7" borderId="0" applyNumberFormat="0" applyBorder="0" applyAlignment="0" applyProtection="0"/>
    <xf numFmtId="0" fontId="113" fillId="8" borderId="0" applyNumberFormat="0" applyBorder="0" applyAlignment="0" applyProtection="0"/>
    <xf numFmtId="0" fontId="113" fillId="9" borderId="0" applyNumberFormat="0" applyBorder="0" applyAlignment="0" applyProtection="0"/>
    <xf numFmtId="0" fontId="113" fillId="10" borderId="0" applyNumberFormat="0" applyBorder="0" applyAlignment="0" applyProtection="0"/>
    <xf numFmtId="0" fontId="113" fillId="11" borderId="0" applyNumberFormat="0" applyBorder="0" applyAlignment="0" applyProtection="0"/>
    <xf numFmtId="0" fontId="113" fillId="12" borderId="0" applyNumberFormat="0" applyBorder="0" applyAlignment="0" applyProtection="0"/>
    <xf numFmtId="0" fontId="113" fillId="13" borderId="0" applyNumberFormat="0" applyBorder="0" applyAlignment="0" applyProtection="0"/>
    <xf numFmtId="0" fontId="114" fillId="14" borderId="0" applyNumberFormat="0" applyBorder="0" applyAlignment="0" applyProtection="0"/>
    <xf numFmtId="0" fontId="114" fillId="15" borderId="0" applyNumberFormat="0" applyBorder="0" applyAlignment="0" applyProtection="0"/>
    <xf numFmtId="0" fontId="114" fillId="16" borderId="0" applyNumberFormat="0" applyBorder="0" applyAlignment="0" applyProtection="0"/>
    <xf numFmtId="0" fontId="114" fillId="17" borderId="0" applyNumberFormat="0" applyBorder="0" applyAlignment="0" applyProtection="0"/>
    <xf numFmtId="0" fontId="114" fillId="18" borderId="0" applyNumberFormat="0" applyBorder="0" applyAlignment="0" applyProtection="0"/>
    <xf numFmtId="0" fontId="114" fillId="19" borderId="0" applyNumberFormat="0" applyBorder="0" applyAlignment="0" applyProtection="0"/>
    <xf numFmtId="0" fontId="115" fillId="20" borderId="0" applyNumberFormat="0" applyBorder="0" applyAlignment="0" applyProtection="0"/>
    <xf numFmtId="0" fontId="115" fillId="20" borderId="0" applyNumberFormat="0" applyBorder="0" applyAlignment="0" applyProtection="0"/>
    <xf numFmtId="0" fontId="116" fillId="21" borderId="1" applyNumberFormat="0" applyAlignment="0" applyProtection="0"/>
    <xf numFmtId="0" fontId="117" fillId="22" borderId="2" applyNumberFormat="0" applyAlignment="0" applyProtection="0"/>
    <xf numFmtId="0" fontId="118" fillId="0" borderId="3" applyNumberFormat="0" applyFill="0" applyAlignment="0" applyProtection="0"/>
    <xf numFmtId="0" fontId="119" fillId="0" borderId="0" applyNumberFormat="0" applyFill="0" applyBorder="0" applyAlignment="0" applyProtection="0"/>
    <xf numFmtId="0" fontId="114" fillId="23" borderId="0" applyNumberFormat="0" applyBorder="0" applyAlignment="0" applyProtection="0"/>
    <xf numFmtId="0" fontId="114" fillId="24" borderId="0" applyNumberFormat="0" applyBorder="0" applyAlignment="0" applyProtection="0"/>
    <xf numFmtId="0" fontId="114" fillId="25" borderId="0" applyNumberFormat="0" applyBorder="0" applyAlignment="0" applyProtection="0"/>
    <xf numFmtId="0" fontId="114" fillId="26" borderId="0" applyNumberFormat="0" applyBorder="0" applyAlignment="0" applyProtection="0"/>
    <xf numFmtId="0" fontId="114" fillId="27" borderId="0" applyNumberFormat="0" applyBorder="0" applyAlignment="0" applyProtection="0"/>
    <xf numFmtId="0" fontId="114" fillId="28" borderId="0" applyNumberFormat="0" applyBorder="0" applyAlignment="0" applyProtection="0"/>
    <xf numFmtId="0" fontId="120" fillId="29" borderId="1" applyNumberFormat="0" applyAlignment="0" applyProtection="0"/>
    <xf numFmtId="0" fontId="121" fillId="30" borderId="0" applyNumberFormat="0" applyBorder="0" applyAlignment="0" applyProtection="0"/>
    <xf numFmtId="43" fontId="0" fillId="0" borderId="0" applyFont="0" applyFill="0" applyBorder="0" applyAlignment="0" applyProtection="0"/>
    <xf numFmtId="164" fontId="0" fillId="0" borderId="0" applyFont="0" applyFill="0" applyBorder="0" applyAlignment="0" applyProtection="0"/>
    <xf numFmtId="38" fontId="30" fillId="0" borderId="0" applyFont="0" applyFill="0" applyBorder="0" applyAlignment="0" applyProtection="0"/>
    <xf numFmtId="38" fontId="3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3" fillId="0" borderId="0">
      <alignment/>
      <protection/>
    </xf>
    <xf numFmtId="0" fontId="1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1" fillId="0" borderId="0">
      <alignment/>
      <protection/>
    </xf>
    <xf numFmtId="0" fontId="1"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22" fillId="21" borderId="5" applyNumberFormat="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6" fillId="0" borderId="6" applyNumberFormat="0" applyFill="0" applyAlignment="0" applyProtection="0"/>
    <xf numFmtId="0" fontId="127" fillId="0" borderId="7" applyNumberFormat="0" applyFill="0" applyAlignment="0" applyProtection="0"/>
    <xf numFmtId="0" fontId="119" fillId="0" borderId="8" applyNumberFormat="0" applyFill="0" applyAlignment="0" applyProtection="0"/>
    <xf numFmtId="0" fontId="28" fillId="0" borderId="9" applyNumberFormat="0" applyFill="0" applyAlignment="0" applyProtection="0"/>
  </cellStyleXfs>
  <cellXfs count="1227">
    <xf numFmtId="0" fontId="0" fillId="0" borderId="0" xfId="0" applyAlignment="1">
      <alignment/>
    </xf>
    <xf numFmtId="0" fontId="3" fillId="0" borderId="0" xfId="0" applyFont="1" applyAlignment="1">
      <alignment vertical="center"/>
    </xf>
    <xf numFmtId="0" fontId="0" fillId="0" borderId="0" xfId="0" applyFont="1" applyAlignment="1">
      <alignment/>
    </xf>
    <xf numFmtId="0" fontId="4" fillId="0" borderId="0" xfId="0" applyFont="1" applyAlignment="1">
      <alignment horizontal="center" vertical="center"/>
    </xf>
    <xf numFmtId="0" fontId="4" fillId="0" borderId="0" xfId="0" applyFont="1" applyAlignment="1">
      <alignment/>
    </xf>
    <xf numFmtId="0" fontId="0" fillId="0" borderId="0" xfId="0" applyFont="1" applyAlignment="1">
      <alignment vertical="center"/>
    </xf>
    <xf numFmtId="0" fontId="6" fillId="0" borderId="0" xfId="0" applyFont="1" applyAlignment="1">
      <alignment vertical="center"/>
    </xf>
    <xf numFmtId="3" fontId="0" fillId="0" borderId="0" xfId="0" applyNumberFormat="1" applyFont="1" applyAlignment="1">
      <alignment vertical="center"/>
    </xf>
    <xf numFmtId="0" fontId="7" fillId="0" borderId="0" xfId="0" applyFont="1" applyAlignment="1">
      <alignment/>
    </xf>
    <xf numFmtId="3" fontId="0" fillId="0" borderId="0" xfId="0" applyNumberFormat="1" applyFont="1" applyAlignment="1">
      <alignment/>
    </xf>
    <xf numFmtId="0" fontId="9" fillId="0" borderId="0" xfId="0" applyFont="1" applyAlignment="1">
      <alignment vertical="center"/>
    </xf>
    <xf numFmtId="0" fontId="4" fillId="0" borderId="0" xfId="0" applyFont="1" applyAlignment="1">
      <alignment vertical="center"/>
    </xf>
    <xf numFmtId="3" fontId="4" fillId="0" borderId="0" xfId="0" applyNumberFormat="1" applyFont="1" applyAlignment="1">
      <alignment vertical="center"/>
    </xf>
    <xf numFmtId="0" fontId="7" fillId="0" borderId="0" xfId="0" applyFont="1" applyAlignment="1">
      <alignment vertical="center"/>
    </xf>
    <xf numFmtId="3" fontId="0" fillId="0" borderId="0" xfId="0" applyNumberFormat="1" applyFont="1" applyAlignment="1">
      <alignment horizontal="center" vertical="center"/>
    </xf>
    <xf numFmtId="0" fontId="0" fillId="0" borderId="0" xfId="0" applyFont="1" applyAlignment="1">
      <alignment horizontal="left" vertical="center" indent="1"/>
    </xf>
    <xf numFmtId="3" fontId="7" fillId="0" borderId="0" xfId="0" applyNumberFormat="1" applyFont="1" applyAlignment="1">
      <alignment vertical="center"/>
    </xf>
    <xf numFmtId="0" fontId="0" fillId="0" borderId="0" xfId="0" applyAlignment="1">
      <alignment vertical="center"/>
    </xf>
    <xf numFmtId="0" fontId="13" fillId="0" borderId="0" xfId="0" applyFont="1" applyAlignment="1">
      <alignment horizontal="center" vertical="center"/>
    </xf>
    <xf numFmtId="0" fontId="4" fillId="0" borderId="10" xfId="0" applyFont="1" applyBorder="1" applyAlignment="1">
      <alignment horizontal="center" vertical="center"/>
    </xf>
    <xf numFmtId="3" fontId="9" fillId="0" borderId="0" xfId="0" applyNumberFormat="1" applyFont="1" applyAlignment="1">
      <alignment vertical="center"/>
    </xf>
    <xf numFmtId="3" fontId="4" fillId="0" borderId="10" xfId="0" applyNumberFormat="1" applyFont="1" applyBorder="1" applyAlignment="1">
      <alignment horizontal="left" vertical="center"/>
    </xf>
    <xf numFmtId="1" fontId="13" fillId="0" borderId="0" xfId="0" applyNumberFormat="1" applyFont="1" applyAlignment="1">
      <alignment horizontal="center" vertical="center"/>
    </xf>
    <xf numFmtId="1" fontId="0" fillId="0" borderId="0" xfId="0" applyNumberFormat="1" applyFont="1" applyAlignment="1">
      <alignment horizontal="center" vertical="center"/>
    </xf>
    <xf numFmtId="3" fontId="4" fillId="0" borderId="0" xfId="0" applyNumberFormat="1" applyFont="1" applyAlignment="1">
      <alignment horizontal="right" vertical="center"/>
    </xf>
    <xf numFmtId="9" fontId="0" fillId="0" borderId="0" xfId="0" applyNumberFormat="1" applyAlignment="1">
      <alignment/>
    </xf>
    <xf numFmtId="3" fontId="0" fillId="0" borderId="0" xfId="0" applyNumberFormat="1" applyFont="1" applyAlignment="1">
      <alignment horizontal="right" vertical="center"/>
    </xf>
    <xf numFmtId="9" fontId="0" fillId="0" borderId="0" xfId="78" applyFont="1" applyBorder="1" applyAlignment="1">
      <alignment vertical="center"/>
    </xf>
    <xf numFmtId="0" fontId="0" fillId="0" borderId="0" xfId="0" applyAlignment="1">
      <alignment vertical="center" wrapText="1"/>
    </xf>
    <xf numFmtId="0" fontId="0" fillId="0" borderId="0" xfId="0" applyFont="1" applyAlignment="1">
      <alignment vertical="center" wrapText="1"/>
    </xf>
    <xf numFmtId="0" fontId="9" fillId="0" borderId="0" xfId="0" applyFont="1" applyAlignment="1">
      <alignment/>
    </xf>
    <xf numFmtId="3" fontId="0" fillId="0" borderId="0" xfId="0" applyNumberFormat="1" applyAlignment="1">
      <alignment/>
    </xf>
    <xf numFmtId="3" fontId="0" fillId="0" borderId="0" xfId="0" applyNumberFormat="1" applyAlignment="1">
      <alignment vertical="center"/>
    </xf>
    <xf numFmtId="0" fontId="21" fillId="0" borderId="0" xfId="0" applyFont="1" applyAlignment="1">
      <alignment vertical="center"/>
    </xf>
    <xf numFmtId="0" fontId="6" fillId="0" borderId="0" xfId="0" applyFont="1" applyAlignment="1">
      <alignment/>
    </xf>
    <xf numFmtId="0" fontId="7" fillId="0" borderId="0" xfId="0" applyFont="1" applyAlignment="1">
      <alignment horizontal="center" vertical="center"/>
    </xf>
    <xf numFmtId="0" fontId="7" fillId="0" borderId="0" xfId="0" applyFont="1" applyAlignment="1">
      <alignment vertical="center" wrapText="1"/>
    </xf>
    <xf numFmtId="3" fontId="4" fillId="0" borderId="0" xfId="0" applyNumberFormat="1" applyFont="1" applyAlignment="1">
      <alignment/>
    </xf>
    <xf numFmtId="0" fontId="0" fillId="0" borderId="0" xfId="0" applyFont="1" applyAlignment="1">
      <alignment horizontal="left" vertical="center"/>
    </xf>
    <xf numFmtId="1" fontId="0" fillId="0" borderId="0" xfId="0" applyNumberFormat="1" applyFont="1" applyAlignment="1">
      <alignment vertical="center"/>
    </xf>
    <xf numFmtId="1" fontId="7" fillId="0" borderId="0" xfId="0" applyNumberFormat="1" applyFont="1" applyAlignment="1">
      <alignment vertical="center"/>
    </xf>
    <xf numFmtId="170" fontId="0" fillId="0" borderId="0" xfId="0" applyNumberFormat="1" applyFont="1" applyAlignment="1">
      <alignment/>
    </xf>
    <xf numFmtId="3" fontId="7" fillId="0" borderId="0" xfId="0" applyNumberFormat="1" applyFont="1" applyAlignment="1">
      <alignment/>
    </xf>
    <xf numFmtId="0" fontId="0" fillId="0" borderId="0" xfId="0" applyFont="1" applyAlignment="1">
      <alignment wrapText="1"/>
    </xf>
    <xf numFmtId="0" fontId="0" fillId="0" borderId="0" xfId="67" applyAlignment="1">
      <alignment horizontal="center" vertical="center"/>
      <protection/>
    </xf>
    <xf numFmtId="0" fontId="0" fillId="0" borderId="0" xfId="67" applyAlignment="1">
      <alignment vertical="center"/>
      <protection/>
    </xf>
    <xf numFmtId="0" fontId="4" fillId="0" borderId="10" xfId="67" applyFont="1" applyBorder="1" applyAlignment="1">
      <alignment horizontal="center" vertical="center"/>
      <protection/>
    </xf>
    <xf numFmtId="0" fontId="0" fillId="0" borderId="0" xfId="67">
      <alignment/>
      <protection/>
    </xf>
    <xf numFmtId="0" fontId="4" fillId="0" borderId="0" xfId="61" applyFont="1" applyAlignment="1">
      <alignment vertical="center"/>
      <protection/>
    </xf>
    <xf numFmtId="0" fontId="0" fillId="0" borderId="0" xfId="61" applyAlignment="1">
      <alignment vertical="center"/>
      <protection/>
    </xf>
    <xf numFmtId="3" fontId="4" fillId="0" borderId="10" xfId="0" applyNumberFormat="1" applyFont="1" applyBorder="1" applyAlignment="1">
      <alignment vertical="center"/>
    </xf>
    <xf numFmtId="3" fontId="0" fillId="0" borderId="11" xfId="0" applyNumberFormat="1" applyFont="1" applyBorder="1" applyAlignment="1">
      <alignment horizontal="right" vertical="center"/>
    </xf>
    <xf numFmtId="0" fontId="4" fillId="0" borderId="0" xfId="54" applyFont="1" applyAlignment="1">
      <alignment vertical="center"/>
      <protection/>
    </xf>
    <xf numFmtId="0" fontId="7" fillId="0" borderId="0" xfId="54" applyFont="1" applyAlignment="1">
      <alignment vertical="center"/>
      <protection/>
    </xf>
    <xf numFmtId="0" fontId="7" fillId="0" borderId="0" xfId="54" applyFont="1" applyAlignment="1">
      <alignment horizontal="center" vertical="center"/>
      <protection/>
    </xf>
    <xf numFmtId="0" fontId="6" fillId="0" borderId="0" xfId="54" applyFont="1" applyAlignment="1">
      <alignment vertical="center"/>
      <protection/>
    </xf>
    <xf numFmtId="3" fontId="7" fillId="0" borderId="0" xfId="54" applyNumberFormat="1" applyFont="1" applyAlignment="1">
      <alignment horizontal="center" vertical="center"/>
      <protection/>
    </xf>
    <xf numFmtId="0" fontId="16" fillId="0" borderId="0" xfId="54" applyFont="1" applyAlignment="1">
      <alignment vertical="center"/>
      <protection/>
    </xf>
    <xf numFmtId="0" fontId="17" fillId="0" borderId="0" xfId="54" applyFont="1" applyAlignment="1">
      <alignment vertical="center"/>
      <protection/>
    </xf>
    <xf numFmtId="1" fontId="17" fillId="0" borderId="0" xfId="54" applyNumberFormat="1" applyFont="1" applyAlignment="1">
      <alignment vertical="center"/>
      <protection/>
    </xf>
    <xf numFmtId="0" fontId="17" fillId="0" borderId="0" xfId="54" applyFont="1" applyAlignment="1">
      <alignment vertical="center" wrapText="1"/>
      <protection/>
    </xf>
    <xf numFmtId="0" fontId="29" fillId="0" borderId="0" xfId="54" applyFont="1" applyAlignment="1">
      <alignment vertical="center"/>
      <protection/>
    </xf>
    <xf numFmtId="0" fontId="26" fillId="0" borderId="0" xfId="54" applyFont="1" applyAlignment="1">
      <alignment vertical="center"/>
      <protection/>
    </xf>
    <xf numFmtId="3" fontId="7" fillId="0" borderId="0" xfId="0" applyNumberFormat="1" applyFont="1" applyAlignment="1">
      <alignment horizontal="center" vertical="center"/>
    </xf>
    <xf numFmtId="0" fontId="0" fillId="0" borderId="0" xfId="67" applyFont="1" applyAlignment="1">
      <alignment vertical="center"/>
      <protection/>
    </xf>
    <xf numFmtId="0" fontId="0" fillId="0" borderId="0" xfId="54" applyAlignment="1">
      <alignment vertical="center"/>
      <protection/>
    </xf>
    <xf numFmtId="9" fontId="0" fillId="0" borderId="12" xfId="78" applyFont="1" applyBorder="1" applyAlignment="1" applyProtection="1" quotePrefix="1">
      <alignment horizontal="right" vertical="center"/>
      <protection/>
    </xf>
    <xf numFmtId="0" fontId="3" fillId="0" borderId="0" xfId="74" applyFont="1" applyAlignment="1">
      <alignment horizontal="centerContinuous" vertical="center"/>
      <protection/>
    </xf>
    <xf numFmtId="0" fontId="0" fillId="0" borderId="0" xfId="74" applyFont="1" applyAlignment="1">
      <alignment vertical="center"/>
      <protection/>
    </xf>
    <xf numFmtId="0" fontId="7" fillId="0" borderId="0" xfId="74" applyFont="1" applyAlignment="1">
      <alignment horizontal="center" vertical="center"/>
      <protection/>
    </xf>
    <xf numFmtId="0" fontId="5" fillId="0" borderId="0" xfId="74" applyFont="1" applyAlignment="1">
      <alignment horizontal="left" vertical="center"/>
      <protection/>
    </xf>
    <xf numFmtId="0" fontId="7" fillId="0" borderId="0" xfId="74" applyFont="1" applyAlignment="1">
      <alignment horizontal="right" vertical="center"/>
      <protection/>
    </xf>
    <xf numFmtId="0" fontId="30" fillId="0" borderId="0" xfId="74" applyAlignment="1">
      <alignment vertical="center"/>
      <protection/>
    </xf>
    <xf numFmtId="3" fontId="5" fillId="0" borderId="0" xfId="74" applyNumberFormat="1" applyFont="1" applyAlignment="1">
      <alignment vertical="center"/>
      <protection/>
    </xf>
    <xf numFmtId="3" fontId="0" fillId="0" borderId="0" xfId="74" applyNumberFormat="1" applyFont="1" applyAlignment="1">
      <alignment vertical="center"/>
      <protection/>
    </xf>
    <xf numFmtId="3" fontId="0" fillId="0" borderId="0" xfId="74" applyNumberFormat="1" applyFont="1" applyAlignment="1">
      <alignment horizontal="right" vertical="center"/>
      <protection/>
    </xf>
    <xf numFmtId="3" fontId="0" fillId="0" borderId="0" xfId="50" applyNumberFormat="1" applyFont="1" applyAlignment="1">
      <alignment horizontal="right" vertical="center"/>
    </xf>
    <xf numFmtId="0" fontId="0" fillId="0" borderId="0" xfId="74" applyFont="1" applyAlignment="1">
      <alignment horizontal="center" vertical="center"/>
      <protection/>
    </xf>
    <xf numFmtId="3" fontId="0" fillId="0" borderId="0" xfId="50" applyNumberFormat="1" applyFont="1" applyFill="1" applyBorder="1" applyAlignment="1">
      <alignment horizontal="right" vertical="center"/>
    </xf>
    <xf numFmtId="3" fontId="0" fillId="0" borderId="0" xfId="50" applyNumberFormat="1" applyFont="1" applyBorder="1" applyAlignment="1">
      <alignment horizontal="right" vertical="center"/>
    </xf>
    <xf numFmtId="0" fontId="6" fillId="0" borderId="0" xfId="74" applyFont="1" applyAlignment="1">
      <alignment horizontal="left" vertical="center"/>
      <protection/>
    </xf>
    <xf numFmtId="38" fontId="7" fillId="0" borderId="0" xfId="50" applyFont="1" applyBorder="1" applyAlignment="1">
      <alignment vertical="center"/>
    </xf>
    <xf numFmtId="38" fontId="7" fillId="0" borderId="0" xfId="50" applyFont="1" applyBorder="1" applyAlignment="1">
      <alignment horizontal="right" vertical="center"/>
    </xf>
    <xf numFmtId="0" fontId="6" fillId="0" borderId="0" xfId="74" applyFont="1" applyAlignment="1">
      <alignment vertical="center"/>
      <protection/>
    </xf>
    <xf numFmtId="38" fontId="7" fillId="0" borderId="0" xfId="50" applyFont="1" applyAlignment="1">
      <alignment vertical="center"/>
    </xf>
    <xf numFmtId="38" fontId="7" fillId="0" borderId="0" xfId="50" applyFont="1" applyAlignment="1">
      <alignment horizontal="right" vertical="center"/>
    </xf>
    <xf numFmtId="0" fontId="7" fillId="0" borderId="0" xfId="74" applyFont="1" applyAlignment="1">
      <alignment vertical="center"/>
      <protection/>
    </xf>
    <xf numFmtId="0" fontId="7" fillId="0" borderId="0" xfId="74" applyFont="1" applyAlignment="1">
      <alignment horizontal="left" vertical="center"/>
      <protection/>
    </xf>
    <xf numFmtId="38" fontId="0" fillId="0" borderId="0" xfId="50" applyFont="1" applyAlignment="1">
      <alignment vertical="center"/>
    </xf>
    <xf numFmtId="0" fontId="21" fillId="0" borderId="0" xfId="74" applyFont="1" applyAlignment="1">
      <alignment vertical="center"/>
      <protection/>
    </xf>
    <xf numFmtId="0" fontId="0" fillId="0" borderId="0" xfId="73" applyFont="1" applyAlignment="1">
      <alignment vertical="center"/>
      <protection/>
    </xf>
    <xf numFmtId="0" fontId="9" fillId="0" borderId="0" xfId="73" applyFont="1" applyAlignment="1">
      <alignment vertical="center"/>
      <protection/>
    </xf>
    <xf numFmtId="0" fontId="4" fillId="0" borderId="0" xfId="73" applyFont="1" applyAlignment="1">
      <alignment horizontal="center" vertical="center"/>
      <protection/>
    </xf>
    <xf numFmtId="0" fontId="0" fillId="0" borderId="0" xfId="73" applyFont="1" applyAlignment="1">
      <alignment horizontal="center" vertical="center"/>
      <protection/>
    </xf>
    <xf numFmtId="3" fontId="0" fillId="0" borderId="0" xfId="73" applyNumberFormat="1" applyFont="1" applyAlignment="1">
      <alignment horizontal="center" vertical="center"/>
      <protection/>
    </xf>
    <xf numFmtId="3" fontId="0" fillId="0" borderId="0" xfId="49" applyNumberFormat="1" applyFont="1" applyAlignment="1">
      <alignment horizontal="center" vertical="center"/>
    </xf>
    <xf numFmtId="38" fontId="0" fillId="0" borderId="0" xfId="49" applyFont="1" applyBorder="1" applyAlignment="1">
      <alignment horizontal="center" vertical="center"/>
    </xf>
    <xf numFmtId="38" fontId="0" fillId="0" borderId="0" xfId="49" applyFont="1" applyAlignment="1">
      <alignment vertical="center"/>
    </xf>
    <xf numFmtId="0" fontId="7" fillId="0" borderId="0" xfId="73" applyFont="1" applyAlignment="1">
      <alignment horizontal="left" vertical="center"/>
      <protection/>
    </xf>
    <xf numFmtId="0" fontId="7" fillId="0" borderId="0" xfId="73" applyFont="1" applyAlignment="1">
      <alignment horizontal="center" vertical="center"/>
      <protection/>
    </xf>
    <xf numFmtId="38" fontId="7" fillId="0" borderId="0" xfId="49" applyFont="1" applyAlignment="1">
      <alignment horizontal="center" vertical="center"/>
    </xf>
    <xf numFmtId="38" fontId="7" fillId="0" borderId="0" xfId="49" applyFont="1" applyAlignment="1">
      <alignment horizontal="right" vertical="center"/>
    </xf>
    <xf numFmtId="38" fontId="7" fillId="0" borderId="0" xfId="49" applyFont="1" applyAlignment="1">
      <alignment vertical="center"/>
    </xf>
    <xf numFmtId="0" fontId="7" fillId="0" borderId="0" xfId="73" applyFont="1" applyAlignment="1">
      <alignment vertical="center"/>
      <protection/>
    </xf>
    <xf numFmtId="0" fontId="21" fillId="0" borderId="0" xfId="73" applyFont="1" applyAlignment="1">
      <alignment vertical="center"/>
      <protection/>
    </xf>
    <xf numFmtId="3" fontId="0" fillId="0" borderId="0" xfId="49" applyNumberFormat="1" applyFont="1" applyAlignment="1" quotePrefix="1">
      <alignment horizontal="right" vertical="center"/>
    </xf>
    <xf numFmtId="3" fontId="6" fillId="0" borderId="0" xfId="49" applyNumberFormat="1" applyFont="1" applyAlignment="1">
      <alignment horizontal="left" vertical="center"/>
    </xf>
    <xf numFmtId="3" fontId="0" fillId="0" borderId="0" xfId="49" applyNumberFormat="1" applyFont="1" applyAlignment="1">
      <alignment horizontal="left" vertical="center"/>
    </xf>
    <xf numFmtId="3" fontId="5" fillId="0" borderId="0" xfId="49" applyNumberFormat="1" applyFont="1" applyAlignment="1">
      <alignment horizontal="left" vertical="center"/>
    </xf>
    <xf numFmtId="3" fontId="15" fillId="0" borderId="0" xfId="49" applyNumberFormat="1" applyFont="1" applyAlignment="1">
      <alignment horizontal="left" vertical="center"/>
    </xf>
    <xf numFmtId="0" fontId="6" fillId="0" borderId="0" xfId="73" applyFont="1" applyAlignment="1">
      <alignment horizontal="left" vertical="center"/>
      <protection/>
    </xf>
    <xf numFmtId="38" fontId="7" fillId="0" borderId="0" xfId="49" applyFont="1" applyBorder="1" applyAlignment="1">
      <alignment vertical="center"/>
    </xf>
    <xf numFmtId="38" fontId="7" fillId="0" borderId="0" xfId="49" applyFont="1" applyBorder="1" applyAlignment="1">
      <alignment horizontal="right" vertical="center"/>
    </xf>
    <xf numFmtId="0" fontId="6" fillId="0" borderId="0" xfId="73" applyFont="1" applyAlignment="1">
      <alignment vertical="center"/>
      <protection/>
    </xf>
    <xf numFmtId="0" fontId="7" fillId="0" borderId="0" xfId="73" applyFont="1" applyAlignment="1" quotePrefix="1">
      <alignment horizontal="left" vertical="center"/>
      <protection/>
    </xf>
    <xf numFmtId="0" fontId="33" fillId="0" borderId="0" xfId="76" applyFont="1" applyAlignment="1">
      <alignment vertical="center"/>
      <protection/>
    </xf>
    <xf numFmtId="0" fontId="37" fillId="0" borderId="0" xfId="76" applyFont="1" applyAlignment="1">
      <alignment vertical="center"/>
      <protection/>
    </xf>
    <xf numFmtId="0" fontId="31" fillId="0" borderId="0" xfId="76" applyFont="1" applyAlignment="1">
      <alignment horizontal="center" vertical="center"/>
      <protection/>
    </xf>
    <xf numFmtId="3" fontId="31" fillId="0" borderId="0" xfId="76" applyNumberFormat="1" applyFont="1" applyAlignment="1">
      <alignment vertical="center"/>
      <protection/>
    </xf>
    <xf numFmtId="0" fontId="34" fillId="0" borderId="0" xfId="76" applyFont="1" applyAlignment="1">
      <alignment vertical="center"/>
      <protection/>
    </xf>
    <xf numFmtId="0" fontId="7" fillId="0" borderId="0" xfId="76" applyFont="1" applyAlignment="1">
      <alignment horizontal="left" vertical="center"/>
      <protection/>
    </xf>
    <xf numFmtId="164" fontId="7" fillId="0" borderId="0" xfId="48" applyFont="1" applyAlignment="1">
      <alignment vertical="center"/>
    </xf>
    <xf numFmtId="164" fontId="7" fillId="0" borderId="0" xfId="48" applyFont="1" applyAlignment="1">
      <alignment horizontal="right" vertical="center"/>
    </xf>
    <xf numFmtId="0" fontId="0" fillId="0" borderId="0" xfId="76" applyFont="1" applyAlignment="1">
      <alignment vertical="center"/>
      <protection/>
    </xf>
    <xf numFmtId="164" fontId="7" fillId="0" borderId="0" xfId="48" applyFont="1" applyAlignment="1">
      <alignment horizontal="center" vertical="center"/>
    </xf>
    <xf numFmtId="0" fontId="7" fillId="0" borderId="0" xfId="76" applyFont="1" applyAlignment="1" quotePrefix="1">
      <alignment horizontal="left" vertical="center"/>
      <protection/>
    </xf>
    <xf numFmtId="0" fontId="38" fillId="0" borderId="0" xfId="76" applyFont="1" applyAlignment="1">
      <alignment vertical="center"/>
      <protection/>
    </xf>
    <xf numFmtId="1" fontId="0" fillId="0" borderId="0" xfId="0" applyNumberFormat="1" applyAlignment="1">
      <alignment vertical="center"/>
    </xf>
    <xf numFmtId="0" fontId="39" fillId="0" borderId="0" xfId="0" applyFont="1" applyAlignment="1">
      <alignment vertical="center"/>
    </xf>
    <xf numFmtId="0" fontId="8" fillId="0" borderId="0" xfId="0" applyFont="1" applyAlignment="1">
      <alignment vertical="center"/>
    </xf>
    <xf numFmtId="3" fontId="0" fillId="0" borderId="13" xfId="0" applyNumberFormat="1" applyBorder="1" applyAlignment="1">
      <alignment horizontal="right" vertical="center"/>
    </xf>
    <xf numFmtId="167" fontId="40" fillId="0" borderId="0" xfId="78" applyNumberFormat="1" applyFont="1" applyAlignment="1">
      <alignment vertical="center"/>
    </xf>
    <xf numFmtId="3" fontId="0" fillId="0" borderId="11" xfId="0" applyNumberFormat="1" applyBorder="1" applyAlignment="1">
      <alignment horizontal="right" vertical="center"/>
    </xf>
    <xf numFmtId="164" fontId="7" fillId="0" borderId="0" xfId="48" applyFont="1" applyBorder="1" applyAlignment="1">
      <alignment vertical="center"/>
    </xf>
    <xf numFmtId="164" fontId="7" fillId="0" borderId="0" xfId="48" applyFont="1" applyBorder="1" applyAlignment="1">
      <alignment horizontal="right" vertical="center"/>
    </xf>
    <xf numFmtId="164" fontId="7" fillId="0" borderId="0" xfId="48" applyFont="1" applyBorder="1" applyAlignment="1">
      <alignment horizontal="center" vertical="center"/>
    </xf>
    <xf numFmtId="164" fontId="0" fillId="0" borderId="14" xfId="0" applyNumberFormat="1" applyFont="1" applyBorder="1" applyAlignment="1">
      <alignment vertical="center"/>
    </xf>
    <xf numFmtId="164" fontId="0" fillId="0" borderId="0" xfId="0" applyNumberFormat="1" applyFont="1" applyAlignment="1">
      <alignment vertical="center"/>
    </xf>
    <xf numFmtId="164" fontId="13" fillId="0" borderId="0" xfId="0" applyNumberFormat="1" applyFont="1" applyAlignment="1">
      <alignment vertical="center"/>
    </xf>
    <xf numFmtId="9" fontId="0" fillId="0" borderId="0" xfId="78" applyFont="1" applyAlignment="1">
      <alignment vertical="center"/>
    </xf>
    <xf numFmtId="0" fontId="4" fillId="33" borderId="15" xfId="0" applyFont="1" applyFill="1" applyBorder="1" applyAlignment="1">
      <alignment horizontal="center" vertical="center"/>
    </xf>
    <xf numFmtId="3" fontId="7" fillId="0" borderId="0" xfId="54" applyNumberFormat="1" applyFont="1" applyAlignment="1">
      <alignment vertical="center"/>
      <protection/>
    </xf>
    <xf numFmtId="0" fontId="21" fillId="33" borderId="0" xfId="73" applyFont="1" applyFill="1" applyAlignment="1">
      <alignment horizontal="center" vertical="center"/>
      <protection/>
    </xf>
    <xf numFmtId="0" fontId="21" fillId="33" borderId="0" xfId="73" applyFont="1" applyFill="1" applyAlignment="1">
      <alignment horizontal="center" vertical="center" wrapText="1"/>
      <protection/>
    </xf>
    <xf numFmtId="0" fontId="21" fillId="33" borderId="0" xfId="73" applyFont="1" applyFill="1" applyAlignment="1">
      <alignment horizontal="right" vertical="center"/>
      <protection/>
    </xf>
    <xf numFmtId="0" fontId="21" fillId="33" borderId="0" xfId="74" applyFont="1" applyFill="1" applyAlignment="1">
      <alignment horizontal="center" vertical="center"/>
      <protection/>
    </xf>
    <xf numFmtId="0" fontId="21" fillId="33" borderId="0" xfId="74" applyFont="1" applyFill="1" applyAlignment="1">
      <alignment horizontal="right" vertical="center"/>
      <protection/>
    </xf>
    <xf numFmtId="0" fontId="24" fillId="33" borderId="0" xfId="74" applyFont="1" applyFill="1" applyAlignment="1">
      <alignment horizontal="left" vertical="center"/>
      <protection/>
    </xf>
    <xf numFmtId="0" fontId="21" fillId="33" borderId="0" xfId="74" applyFont="1" applyFill="1" applyAlignment="1">
      <alignment vertical="center"/>
      <protection/>
    </xf>
    <xf numFmtId="3" fontId="0" fillId="0" borderId="16" xfId="0" applyNumberFormat="1" applyBorder="1" applyAlignment="1">
      <alignment horizontal="right" vertical="center"/>
    </xf>
    <xf numFmtId="0" fontId="4" fillId="33" borderId="15" xfId="0" applyFont="1" applyFill="1" applyBorder="1" applyAlignment="1">
      <alignment vertical="center"/>
    </xf>
    <xf numFmtId="165" fontId="4" fillId="33" borderId="15" xfId="0" applyNumberFormat="1" applyFont="1" applyFill="1" applyBorder="1" applyAlignment="1">
      <alignment vertical="center"/>
    </xf>
    <xf numFmtId="0" fontId="21" fillId="33" borderId="0" xfId="76" applyFont="1" applyFill="1" applyAlignment="1">
      <alignment horizontal="center" vertical="center"/>
      <protection/>
    </xf>
    <xf numFmtId="0" fontId="21" fillId="33" borderId="0" xfId="76" applyFont="1" applyFill="1" applyAlignment="1">
      <alignment horizontal="right" vertical="center"/>
      <protection/>
    </xf>
    <xf numFmtId="0" fontId="113" fillId="0" borderId="0" xfId="59" applyAlignment="1">
      <alignment vertical="center"/>
      <protection/>
    </xf>
    <xf numFmtId="0" fontId="128" fillId="0" borderId="0" xfId="59" applyFont="1" applyAlignment="1">
      <alignment horizontal="center" vertical="center"/>
      <protection/>
    </xf>
    <xf numFmtId="0" fontId="129" fillId="0" borderId="0" xfId="59" applyFont="1" applyAlignment="1">
      <alignment horizontal="right" vertical="center"/>
      <protection/>
    </xf>
    <xf numFmtId="0" fontId="129" fillId="0" borderId="0" xfId="59" applyFont="1" applyAlignment="1">
      <alignment horizontal="center" vertical="center"/>
      <protection/>
    </xf>
    <xf numFmtId="0" fontId="130" fillId="0" borderId="0" xfId="59" applyFont="1" applyAlignment="1">
      <alignment horizontal="center" vertical="center"/>
      <protection/>
    </xf>
    <xf numFmtId="0" fontId="131" fillId="0" borderId="0" xfId="59" applyFont="1" applyAlignment="1">
      <alignment vertical="center"/>
      <protection/>
    </xf>
    <xf numFmtId="0" fontId="131" fillId="0" borderId="0" xfId="59" applyFont="1" applyAlignment="1">
      <alignment horizontal="center" vertical="center"/>
      <protection/>
    </xf>
    <xf numFmtId="0" fontId="130" fillId="0" borderId="0" xfId="59" applyFont="1" applyAlignment="1">
      <alignment horizontal="left" vertical="center"/>
      <protection/>
    </xf>
    <xf numFmtId="3" fontId="130" fillId="0" borderId="0" xfId="59" applyNumberFormat="1" applyFont="1" applyAlignment="1">
      <alignment vertical="center"/>
      <protection/>
    </xf>
    <xf numFmtId="0" fontId="132" fillId="0" borderId="0" xfId="59" applyFont="1" applyAlignment="1">
      <alignment vertical="center"/>
      <protection/>
    </xf>
    <xf numFmtId="0" fontId="131" fillId="0" borderId="0" xfId="59" applyFont="1" applyAlignment="1">
      <alignment horizontal="left" vertical="center"/>
      <protection/>
    </xf>
    <xf numFmtId="0" fontId="113" fillId="0" borderId="0" xfId="59" applyAlignment="1">
      <alignment horizontal="left" vertical="center"/>
      <protection/>
    </xf>
    <xf numFmtId="3" fontId="0" fillId="0" borderId="0" xfId="0" applyNumberFormat="1" applyAlignment="1">
      <alignment horizontal="center" vertical="center"/>
    </xf>
    <xf numFmtId="3" fontId="0" fillId="0" borderId="17" xfId="0" applyNumberFormat="1" applyBorder="1" applyAlignment="1">
      <alignment horizontal="right" vertical="center"/>
    </xf>
    <xf numFmtId="3" fontId="0" fillId="0" borderId="18" xfId="0" applyNumberFormat="1" applyBorder="1" applyAlignment="1">
      <alignment horizontal="right" vertical="center"/>
    </xf>
    <xf numFmtId="3" fontId="0" fillId="0" borderId="0" xfId="0" applyNumberFormat="1" applyAlignment="1">
      <alignment horizontal="right" vertical="center"/>
    </xf>
    <xf numFmtId="3" fontId="0" fillId="0" borderId="19" xfId="0" applyNumberFormat="1" applyBorder="1" applyAlignment="1">
      <alignment horizontal="right" vertical="center"/>
    </xf>
    <xf numFmtId="3" fontId="4" fillId="33" borderId="19" xfId="0" applyNumberFormat="1" applyFont="1" applyFill="1" applyBorder="1" applyAlignment="1">
      <alignment horizontal="center" vertical="center"/>
    </xf>
    <xf numFmtId="3" fontId="0" fillId="0" borderId="19" xfId="0" applyNumberFormat="1" applyFont="1" applyBorder="1" applyAlignment="1">
      <alignment vertical="center"/>
    </xf>
    <xf numFmtId="0" fontId="4" fillId="33" borderId="19" xfId="0" applyFont="1" applyFill="1" applyBorder="1" applyAlignment="1">
      <alignment horizontal="left" vertical="center"/>
    </xf>
    <xf numFmtId="0" fontId="0" fillId="0" borderId="19" xfId="0" applyFont="1" applyBorder="1" applyAlignment="1">
      <alignment horizontal="left" vertical="center" indent="1"/>
    </xf>
    <xf numFmtId="3" fontId="4" fillId="33" borderId="19" xfId="0" applyNumberFormat="1" applyFont="1" applyFill="1" applyBorder="1" applyAlignment="1">
      <alignment horizontal="left" vertical="center"/>
    </xf>
    <xf numFmtId="0" fontId="4" fillId="33" borderId="19" xfId="0" applyFont="1" applyFill="1" applyBorder="1" applyAlignment="1">
      <alignment vertical="center"/>
    </xf>
    <xf numFmtId="3" fontId="4" fillId="33" borderId="19" xfId="0" applyNumberFormat="1" applyFont="1" applyFill="1" applyBorder="1" applyAlignment="1">
      <alignment vertical="center"/>
    </xf>
    <xf numFmtId="167" fontId="4" fillId="33" borderId="19" xfId="78" applyNumberFormat="1" applyFont="1" applyFill="1" applyBorder="1" applyAlignment="1">
      <alignment vertical="center"/>
    </xf>
    <xf numFmtId="0" fontId="0" fillId="0" borderId="19" xfId="0" applyFont="1" applyBorder="1" applyAlignment="1">
      <alignment horizontal="left" vertical="center" indent="2"/>
    </xf>
    <xf numFmtId="167" fontId="0" fillId="0" borderId="19" xfId="78" applyNumberFormat="1" applyFont="1" applyBorder="1" applyAlignment="1">
      <alignment vertical="center"/>
    </xf>
    <xf numFmtId="3" fontId="0" fillId="0" borderId="19" xfId="0" applyNumberFormat="1" applyFont="1" applyBorder="1" applyAlignment="1">
      <alignment horizontal="right" vertical="center"/>
    </xf>
    <xf numFmtId="3" fontId="0" fillId="0" borderId="19" xfId="0" applyNumberFormat="1" applyFont="1" applyBorder="1" applyAlignment="1" quotePrefix="1">
      <alignment horizontal="right" vertical="center"/>
    </xf>
    <xf numFmtId="0" fontId="4" fillId="33" borderId="19" xfId="0" applyFont="1" applyFill="1" applyBorder="1" applyAlignment="1">
      <alignment horizontal="left" vertical="center" indent="1"/>
    </xf>
    <xf numFmtId="3" fontId="0" fillId="0" borderId="19" xfId="0" applyNumberFormat="1" applyBorder="1" applyAlignment="1">
      <alignment horizontal="left" vertical="center" indent="1"/>
    </xf>
    <xf numFmtId="3" fontId="0" fillId="0" borderId="19" xfId="0" applyNumberFormat="1" applyBorder="1" applyAlignment="1">
      <alignment horizontal="left" vertical="center" indent="2"/>
    </xf>
    <xf numFmtId="3" fontId="0" fillId="0" borderId="19" xfId="78" applyNumberFormat="1" applyFont="1" applyBorder="1" applyAlignment="1">
      <alignment horizontal="right" vertical="center"/>
    </xf>
    <xf numFmtId="3" fontId="0" fillId="0" borderId="19" xfId="0" applyNumberFormat="1" applyBorder="1" applyAlignment="1">
      <alignment vertical="center"/>
    </xf>
    <xf numFmtId="0" fontId="0" fillId="0" borderId="19" xfId="0" applyBorder="1" applyAlignment="1">
      <alignment horizontal="left" vertical="center" indent="2"/>
    </xf>
    <xf numFmtId="0" fontId="0" fillId="0" borderId="19" xfId="0" applyFont="1" applyBorder="1" applyAlignment="1">
      <alignment horizontal="left" vertical="center" indent="3"/>
    </xf>
    <xf numFmtId="1" fontId="4" fillId="33" borderId="19" xfId="0" applyNumberFormat="1" applyFont="1" applyFill="1" applyBorder="1" applyAlignment="1">
      <alignment vertical="center" wrapText="1"/>
    </xf>
    <xf numFmtId="0" fontId="4" fillId="33" borderId="19" xfId="0" applyFont="1" applyFill="1" applyBorder="1" applyAlignment="1">
      <alignment horizontal="right" vertical="center"/>
    </xf>
    <xf numFmtId="3" fontId="4" fillId="33" borderId="19" xfId="0" applyNumberFormat="1" applyFont="1" applyFill="1" applyBorder="1" applyAlignment="1">
      <alignment horizontal="right" vertical="center"/>
    </xf>
    <xf numFmtId="0" fontId="0" fillId="0" borderId="19" xfId="0" applyBorder="1" applyAlignment="1">
      <alignment horizontal="left" vertical="center" indent="1"/>
    </xf>
    <xf numFmtId="0" fontId="130" fillId="33" borderId="19" xfId="59" applyFont="1" applyFill="1" applyBorder="1" applyAlignment="1">
      <alignment horizontal="center" vertical="center"/>
      <protection/>
    </xf>
    <xf numFmtId="0" fontId="130" fillId="33" borderId="19" xfId="59" applyFont="1" applyFill="1" applyBorder="1" applyAlignment="1">
      <alignment horizontal="left" vertical="center"/>
      <protection/>
    </xf>
    <xf numFmtId="3" fontId="130" fillId="33" borderId="19" xfId="59" applyNumberFormat="1" applyFont="1" applyFill="1" applyBorder="1" applyAlignment="1">
      <alignment vertical="center"/>
      <protection/>
    </xf>
    <xf numFmtId="0" fontId="130" fillId="0" borderId="19" xfId="59" applyFont="1" applyBorder="1" applyAlignment="1">
      <alignment vertical="center"/>
      <protection/>
    </xf>
    <xf numFmtId="3" fontId="130" fillId="0" borderId="19" xfId="59" applyNumberFormat="1" applyFont="1" applyBorder="1" applyAlignment="1">
      <alignment vertical="center"/>
      <protection/>
    </xf>
    <xf numFmtId="0" fontId="131" fillId="0" borderId="19" xfId="59" applyFont="1" applyBorder="1" applyAlignment="1">
      <alignment horizontal="left" vertical="center" indent="1"/>
      <protection/>
    </xf>
    <xf numFmtId="3" fontId="131" fillId="0" borderId="19" xfId="59" applyNumberFormat="1" applyFont="1" applyBorder="1" applyAlignment="1">
      <alignment vertical="center"/>
      <protection/>
    </xf>
    <xf numFmtId="0" fontId="130" fillId="0" borderId="19" xfId="59" applyFont="1" applyBorder="1" applyAlignment="1">
      <alignment horizontal="left" vertical="center"/>
      <protection/>
    </xf>
    <xf numFmtId="3" fontId="131" fillId="0" borderId="19" xfId="59" applyNumberFormat="1" applyFont="1" applyBorder="1" applyAlignment="1" quotePrefix="1">
      <alignment horizontal="right" vertical="center"/>
      <protection/>
    </xf>
    <xf numFmtId="0" fontId="131" fillId="0" borderId="19" xfId="59" applyFont="1" applyBorder="1" applyAlignment="1">
      <alignment vertical="center"/>
      <protection/>
    </xf>
    <xf numFmtId="0" fontId="0" fillId="0" borderId="19" xfId="0" applyFont="1" applyBorder="1" applyAlignment="1" quotePrefix="1">
      <alignment horizontal="left" vertical="center" indent="1"/>
    </xf>
    <xf numFmtId="0" fontId="0" fillId="0" borderId="19" xfId="0" applyBorder="1" applyAlignment="1">
      <alignment horizontal="left" vertical="center" wrapText="1" indent="2"/>
    </xf>
    <xf numFmtId="0" fontId="4" fillId="33" borderId="19" xfId="67" applyFont="1" applyFill="1" applyBorder="1" applyAlignment="1">
      <alignment horizontal="center" vertical="center"/>
      <protection/>
    </xf>
    <xf numFmtId="0" fontId="4" fillId="33" borderId="19" xfId="67" applyFont="1" applyFill="1" applyBorder="1" applyAlignment="1">
      <alignment vertical="center"/>
      <protection/>
    </xf>
    <xf numFmtId="0" fontId="0" fillId="0" borderId="19" xfId="67" applyBorder="1" applyAlignment="1">
      <alignment horizontal="left" vertical="center" indent="1"/>
      <protection/>
    </xf>
    <xf numFmtId="167" fontId="0" fillId="0" borderId="19" xfId="78" applyNumberFormat="1" applyFont="1" applyBorder="1" applyAlignment="1">
      <alignment horizontal="right" vertical="center"/>
    </xf>
    <xf numFmtId="3" fontId="0" fillId="0" borderId="19" xfId="0" applyNumberFormat="1" applyBorder="1" applyAlignment="1" quotePrefix="1">
      <alignment horizontal="right" vertical="center"/>
    </xf>
    <xf numFmtId="3" fontId="0" fillId="0" borderId="19" xfId="61" applyNumberFormat="1" applyBorder="1" applyAlignment="1">
      <alignment vertical="center"/>
      <protection/>
    </xf>
    <xf numFmtId="165" fontId="4" fillId="33" borderId="19" xfId="0" applyNumberFormat="1" applyFont="1" applyFill="1" applyBorder="1" applyAlignment="1">
      <alignment vertical="center"/>
    </xf>
    <xf numFmtId="0" fontId="25" fillId="0" borderId="19" xfId="0" applyFont="1" applyBorder="1" applyAlignment="1">
      <alignment horizontal="right" vertical="center" wrapText="1"/>
    </xf>
    <xf numFmtId="164" fontId="0" fillId="0" borderId="19" xfId="48" applyFont="1" applyFill="1" applyBorder="1" applyAlignment="1">
      <alignment horizontal="center" vertical="center"/>
    </xf>
    <xf numFmtId="0" fontId="0" fillId="0" borderId="19" xfId="0" applyFont="1" applyBorder="1" applyAlignment="1">
      <alignment horizontal="right" vertical="center"/>
    </xf>
    <xf numFmtId="3" fontId="4" fillId="0" borderId="19" xfId="0" applyNumberFormat="1" applyFont="1" applyBorder="1" applyAlignment="1">
      <alignment horizontal="right" vertical="center"/>
    </xf>
    <xf numFmtId="3" fontId="0" fillId="0" borderId="19" xfId="0" applyNumberFormat="1" applyBorder="1" applyAlignment="1">
      <alignment horizontal="right" vertical="center" wrapText="1"/>
    </xf>
    <xf numFmtId="164" fontId="0" fillId="0" borderId="19" xfId="48" applyFont="1" applyFill="1" applyBorder="1" applyAlignment="1">
      <alignment horizontal="left" vertical="center"/>
    </xf>
    <xf numFmtId="164" fontId="0" fillId="0" borderId="19" xfId="48" applyFont="1" applyFill="1" applyBorder="1" applyAlignment="1">
      <alignment horizontal="left" vertical="center"/>
    </xf>
    <xf numFmtId="3" fontId="20" fillId="0" borderId="19" xfId="0" applyNumberFormat="1" applyFont="1" applyBorder="1" applyAlignment="1">
      <alignment horizontal="right" vertical="center"/>
    </xf>
    <xf numFmtId="0" fontId="0" fillId="0" borderId="19" xfId="0" applyBorder="1" applyAlignment="1">
      <alignment horizontal="left" vertical="center" wrapText="1" indent="1"/>
    </xf>
    <xf numFmtId="0" fontId="29" fillId="33" borderId="19" xfId="0" applyFont="1" applyFill="1" applyBorder="1" applyAlignment="1">
      <alignment horizontal="center" vertical="center"/>
    </xf>
    <xf numFmtId="3" fontId="29" fillId="33" borderId="19" xfId="0" applyNumberFormat="1" applyFont="1" applyFill="1" applyBorder="1" applyAlignment="1">
      <alignment horizontal="center" vertical="center"/>
    </xf>
    <xf numFmtId="0" fontId="4" fillId="34" borderId="19" xfId="0" applyFont="1" applyFill="1" applyBorder="1" applyAlignment="1">
      <alignment horizontal="center" vertical="center"/>
    </xf>
    <xf numFmtId="3" fontId="4" fillId="35" borderId="19" xfId="0" applyNumberFormat="1" applyFont="1" applyFill="1" applyBorder="1" applyAlignment="1">
      <alignment horizontal="right" vertical="center"/>
    </xf>
    <xf numFmtId="3" fontId="4" fillId="35" borderId="19" xfId="0" applyNumberFormat="1" applyFont="1" applyFill="1" applyBorder="1" applyAlignment="1">
      <alignment vertical="center"/>
    </xf>
    <xf numFmtId="3" fontId="4" fillId="34" borderId="19" xfId="0" applyNumberFormat="1" applyFont="1" applyFill="1" applyBorder="1" applyAlignment="1">
      <alignment horizontal="right" vertical="center"/>
    </xf>
    <xf numFmtId="0" fontId="4" fillId="35" borderId="19" xfId="0" applyFont="1" applyFill="1" applyBorder="1" applyAlignment="1">
      <alignment horizontal="center" vertical="center"/>
    </xf>
    <xf numFmtId="0" fontId="4" fillId="0" borderId="0" xfId="57" applyFont="1" applyAlignment="1">
      <alignment horizontal="left" vertical="center"/>
      <protection/>
    </xf>
    <xf numFmtId="3" fontId="4" fillId="33" borderId="19" xfId="57" applyNumberFormat="1" applyFont="1" applyFill="1" applyBorder="1" applyAlignment="1">
      <alignment vertical="center"/>
      <protection/>
    </xf>
    <xf numFmtId="0" fontId="0" fillId="0" borderId="19" xfId="57" applyBorder="1" applyAlignment="1">
      <alignment horizontal="left" vertical="center" indent="1"/>
      <protection/>
    </xf>
    <xf numFmtId="0" fontId="0" fillId="0" borderId="19" xfId="57" applyFont="1" applyBorder="1" applyAlignment="1">
      <alignment horizontal="left" vertical="center" indent="1"/>
      <protection/>
    </xf>
    <xf numFmtId="0" fontId="47" fillId="0" borderId="0" xfId="0" applyFont="1" applyAlignment="1">
      <alignment vertical="center"/>
    </xf>
    <xf numFmtId="3" fontId="4" fillId="0" borderId="19" xfId="54" applyNumberFormat="1" applyFont="1" applyBorder="1" applyAlignment="1">
      <alignment horizontal="right" vertical="center"/>
      <protection/>
    </xf>
    <xf numFmtId="0" fontId="0" fillId="0" borderId="15" xfId="0" applyBorder="1" applyAlignment="1">
      <alignment horizontal="left" vertical="center" wrapText="1" indent="1"/>
    </xf>
    <xf numFmtId="0" fontId="4" fillId="33" borderId="12" xfId="64" applyFont="1" applyFill="1" applyBorder="1" applyAlignment="1">
      <alignment horizontal="center" vertical="center"/>
      <protection/>
    </xf>
    <xf numFmtId="0" fontId="4" fillId="33" borderId="20" xfId="64" applyFont="1" applyFill="1" applyBorder="1" applyAlignment="1">
      <alignment horizontal="center" vertical="center"/>
      <protection/>
    </xf>
    <xf numFmtId="0" fontId="4" fillId="33" borderId="12" xfId="64" applyFont="1" applyFill="1" applyBorder="1" applyAlignment="1">
      <alignment horizontal="left" vertical="center" wrapText="1" indent="1"/>
      <protection/>
    </xf>
    <xf numFmtId="3" fontId="4" fillId="33" borderId="12" xfId="64" applyNumberFormat="1" applyFont="1" applyFill="1" applyBorder="1" applyAlignment="1">
      <alignment vertical="center"/>
      <protection/>
    </xf>
    <xf numFmtId="3" fontId="4" fillId="33" borderId="20" xfId="64" applyNumberFormat="1" applyFont="1" applyFill="1" applyBorder="1" applyAlignment="1">
      <alignment vertical="center"/>
      <protection/>
    </xf>
    <xf numFmtId="0" fontId="0" fillId="0" borderId="12" xfId="64" applyBorder="1" applyAlignment="1">
      <alignment horizontal="left" vertical="center" wrapText="1" indent="2"/>
      <protection/>
    </xf>
    <xf numFmtId="170" fontId="0" fillId="33" borderId="12" xfId="64" applyNumberFormat="1" applyFill="1" applyBorder="1" applyAlignment="1">
      <alignment vertical="center"/>
      <protection/>
    </xf>
    <xf numFmtId="3" fontId="4" fillId="33" borderId="21" xfId="64" applyNumberFormat="1" applyFont="1" applyFill="1" applyBorder="1" applyAlignment="1">
      <alignment vertical="center"/>
      <protection/>
    </xf>
    <xf numFmtId="4" fontId="0" fillId="0" borderId="12" xfId="64" applyNumberFormat="1" applyBorder="1" applyAlignment="1">
      <alignment vertical="center"/>
      <protection/>
    </xf>
    <xf numFmtId="3" fontId="4" fillId="33" borderId="22" xfId="64" applyNumberFormat="1" applyFont="1" applyFill="1" applyBorder="1" applyAlignment="1">
      <alignment vertical="center"/>
      <protection/>
    </xf>
    <xf numFmtId="0" fontId="4" fillId="33" borderId="12" xfId="66" applyFont="1" applyFill="1" applyBorder="1" applyAlignment="1">
      <alignment horizontal="center" vertical="center"/>
      <protection/>
    </xf>
    <xf numFmtId="0" fontId="4" fillId="33" borderId="12" xfId="66" applyFont="1" applyFill="1" applyBorder="1" applyAlignment="1">
      <alignment vertical="center" wrapText="1"/>
      <protection/>
    </xf>
    <xf numFmtId="3" fontId="4" fillId="33" borderId="12" xfId="66" applyNumberFormat="1" applyFont="1" applyFill="1" applyBorder="1" applyAlignment="1">
      <alignment vertical="center"/>
      <protection/>
    </xf>
    <xf numFmtId="0" fontId="0" fillId="0" borderId="12" xfId="66" applyBorder="1" applyAlignment="1">
      <alignment horizontal="left" vertical="center" wrapText="1" indent="1"/>
      <protection/>
    </xf>
    <xf numFmtId="0" fontId="0" fillId="0" borderId="12" xfId="66" applyFont="1" applyBorder="1" applyAlignment="1">
      <alignment horizontal="left" vertical="center" wrapText="1" indent="1"/>
      <protection/>
    </xf>
    <xf numFmtId="3" fontId="0" fillId="0" borderId="19" xfId="66" applyNumberFormat="1" applyFont="1" applyBorder="1" applyAlignment="1" quotePrefix="1">
      <alignment horizontal="right" vertical="center"/>
      <protection/>
    </xf>
    <xf numFmtId="0" fontId="4" fillId="33" borderId="12" xfId="66" applyFont="1" applyFill="1" applyBorder="1" applyAlignment="1">
      <alignment horizontal="left" vertical="center" wrapText="1"/>
      <protection/>
    </xf>
    <xf numFmtId="3" fontId="4" fillId="33" borderId="20" xfId="66" applyNumberFormat="1" applyFont="1" applyFill="1" applyBorder="1" applyAlignment="1">
      <alignment vertical="center"/>
      <protection/>
    </xf>
    <xf numFmtId="3" fontId="4" fillId="33" borderId="21" xfId="66" applyNumberFormat="1" applyFont="1" applyFill="1" applyBorder="1" applyAlignment="1">
      <alignment vertical="center"/>
      <protection/>
    </xf>
    <xf numFmtId="0" fontId="7" fillId="0" borderId="0" xfId="66" applyFont="1" applyAlignment="1">
      <alignment vertical="center"/>
      <protection/>
    </xf>
    <xf numFmtId="0" fontId="21" fillId="0" borderId="0" xfId="66" applyFont="1" applyAlignment="1">
      <alignment vertical="center"/>
      <protection/>
    </xf>
    <xf numFmtId="0" fontId="133" fillId="0" borderId="0" xfId="59" applyFont="1" applyAlignment="1">
      <alignment vertical="center"/>
      <protection/>
    </xf>
    <xf numFmtId="0" fontId="17" fillId="0" borderId="0" xfId="0" applyFont="1" applyAlignment="1">
      <alignment vertical="center"/>
    </xf>
    <xf numFmtId="3" fontId="17" fillId="0" borderId="0" xfId="0" applyNumberFormat="1" applyFont="1" applyAlignment="1">
      <alignment vertical="center"/>
    </xf>
    <xf numFmtId="0" fontId="0" fillId="0" borderId="0" xfId="63">
      <alignment/>
      <protection/>
    </xf>
    <xf numFmtId="0" fontId="0" fillId="0" borderId="0" xfId="63" applyAlignment="1">
      <alignment vertical="center"/>
      <protection/>
    </xf>
    <xf numFmtId="0" fontId="4" fillId="0" borderId="0" xfId="63" applyFont="1" applyAlignment="1">
      <alignment vertical="center"/>
      <protection/>
    </xf>
    <xf numFmtId="165" fontId="4" fillId="0" borderId="0" xfId="63" applyNumberFormat="1" applyFont="1" applyAlignment="1">
      <alignment horizontal="center" vertical="center"/>
      <protection/>
    </xf>
    <xf numFmtId="0" fontId="4" fillId="33" borderId="19" xfId="63" applyFont="1" applyFill="1" applyBorder="1" applyAlignment="1">
      <alignment horizontal="center" vertical="center"/>
      <protection/>
    </xf>
    <xf numFmtId="0" fontId="4" fillId="0" borderId="0" xfId="63" applyFont="1" applyAlignment="1">
      <alignment horizontal="center" vertical="center"/>
      <protection/>
    </xf>
    <xf numFmtId="165" fontId="0" fillId="0" borderId="19" xfId="63" applyNumberFormat="1" applyBorder="1" applyAlignment="1">
      <alignment vertical="center"/>
      <protection/>
    </xf>
    <xf numFmtId="3" fontId="0" fillId="0" borderId="0" xfId="63" applyNumberFormat="1" applyAlignment="1">
      <alignment horizontal="center" vertical="center"/>
      <protection/>
    </xf>
    <xf numFmtId="0" fontId="7" fillId="0" borderId="0" xfId="63" applyFont="1" applyAlignment="1">
      <alignment vertical="center"/>
      <protection/>
    </xf>
    <xf numFmtId="1" fontId="7" fillId="0" borderId="0" xfId="63" applyNumberFormat="1" applyFont="1" applyAlignment="1">
      <alignment vertical="center"/>
      <protection/>
    </xf>
    <xf numFmtId="3" fontId="7" fillId="0" borderId="0" xfId="63" applyNumberFormat="1" applyFont="1" applyAlignment="1">
      <alignment horizontal="center" vertical="center"/>
      <protection/>
    </xf>
    <xf numFmtId="0" fontId="7" fillId="0" borderId="0" xfId="63" applyFont="1">
      <alignment/>
      <protection/>
    </xf>
    <xf numFmtId="0" fontId="4" fillId="0" borderId="0" xfId="0" applyFont="1" applyAlignment="1">
      <alignment horizontal="left" vertical="center" indent="2"/>
    </xf>
    <xf numFmtId="0" fontId="4" fillId="0" borderId="0" xfId="73" applyFont="1" applyAlignment="1">
      <alignment vertical="center"/>
      <protection/>
    </xf>
    <xf numFmtId="3" fontId="0" fillId="0" borderId="0" xfId="73" applyNumberFormat="1" applyFont="1" applyAlignment="1">
      <alignment vertical="center"/>
      <protection/>
    </xf>
    <xf numFmtId="3" fontId="0" fillId="0" borderId="0" xfId="49" applyNumberFormat="1" applyFont="1" applyAlignment="1">
      <alignment horizontal="right" vertical="center"/>
    </xf>
    <xf numFmtId="3" fontId="0" fillId="0" borderId="0" xfId="49" applyNumberFormat="1" applyFont="1" applyAlignment="1">
      <alignment vertical="center"/>
    </xf>
    <xf numFmtId="3" fontId="4" fillId="0" borderId="0" xfId="49" applyNumberFormat="1" applyFont="1" applyAlignment="1">
      <alignment vertical="center"/>
    </xf>
    <xf numFmtId="3" fontId="4" fillId="0" borderId="0" xfId="49" applyNumberFormat="1" applyFont="1" applyAlignment="1">
      <alignment horizontal="right" vertical="center"/>
    </xf>
    <xf numFmtId="3" fontId="4" fillId="0" borderId="0" xfId="73" applyNumberFormat="1" applyFont="1" applyAlignment="1">
      <alignment vertical="center"/>
      <protection/>
    </xf>
    <xf numFmtId="0" fontId="4" fillId="0" borderId="0" xfId="74" applyFont="1" applyAlignment="1">
      <alignment vertical="center"/>
      <protection/>
    </xf>
    <xf numFmtId="38" fontId="0" fillId="0" borderId="0" xfId="50" applyFont="1" applyBorder="1" applyAlignment="1">
      <alignment vertical="center"/>
    </xf>
    <xf numFmtId="38" fontId="0" fillId="0" borderId="0" xfId="50" applyFont="1" applyBorder="1" applyAlignment="1" quotePrefix="1">
      <alignment horizontal="right" vertical="center"/>
    </xf>
    <xf numFmtId="38" fontId="0" fillId="0" borderId="0" xfId="50" applyFont="1" applyBorder="1" applyAlignment="1">
      <alignment horizontal="right" vertical="center"/>
    </xf>
    <xf numFmtId="3" fontId="5" fillId="0" borderId="0" xfId="0" applyNumberFormat="1" applyFont="1" applyAlignment="1">
      <alignment vertical="center"/>
    </xf>
    <xf numFmtId="0" fontId="0" fillId="0" borderId="0" xfId="0" applyFont="1" applyAlignment="1">
      <alignment horizontal="center"/>
    </xf>
    <xf numFmtId="167" fontId="0" fillId="0" borderId="19" xfId="78" applyNumberFormat="1" applyFont="1" applyBorder="1" applyAlignment="1">
      <alignment horizontal="right" vertical="center"/>
    </xf>
    <xf numFmtId="167" fontId="0" fillId="0" borderId="19" xfId="78" applyNumberFormat="1" applyFont="1" applyBorder="1" applyAlignment="1">
      <alignment vertical="center"/>
    </xf>
    <xf numFmtId="0" fontId="0" fillId="0" borderId="0" xfId="0" applyAlignment="1">
      <alignment wrapText="1"/>
    </xf>
    <xf numFmtId="167" fontId="134" fillId="0" borderId="0" xfId="78" applyNumberFormat="1" applyFont="1" applyFill="1" applyBorder="1" applyAlignment="1">
      <alignment horizontal="center" vertical="center"/>
    </xf>
    <xf numFmtId="0" fontId="4" fillId="33" borderId="19" xfId="0" applyFont="1" applyFill="1" applyBorder="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3" fontId="135" fillId="0" borderId="19" xfId="0" applyNumberFormat="1" applyFont="1" applyBorder="1" applyAlignment="1">
      <alignment horizontal="right" vertical="center"/>
    </xf>
    <xf numFmtId="0" fontId="7" fillId="0" borderId="0" xfId="60" applyFont="1">
      <alignment/>
      <protection/>
    </xf>
    <xf numFmtId="3" fontId="0" fillId="36" borderId="0" xfId="73" applyNumberFormat="1" applyFont="1" applyFill="1" applyAlignment="1">
      <alignment horizontal="center" vertical="center"/>
      <protection/>
    </xf>
    <xf numFmtId="3" fontId="0" fillId="36" borderId="0" xfId="49" applyNumberFormat="1" applyFont="1" applyFill="1" applyAlignment="1">
      <alignment horizontal="center" vertical="center"/>
    </xf>
    <xf numFmtId="3" fontId="0" fillId="0" borderId="0" xfId="49" applyNumberFormat="1" applyFont="1" applyFill="1" applyAlignment="1">
      <alignment horizontal="center" vertical="center"/>
    </xf>
    <xf numFmtId="0" fontId="136" fillId="0" borderId="0" xfId="0" applyFont="1" applyAlignment="1">
      <alignment vertical="center"/>
    </xf>
    <xf numFmtId="9" fontId="0" fillId="0" borderId="0" xfId="80" applyFont="1" applyBorder="1" applyAlignment="1">
      <alignment vertical="center"/>
    </xf>
    <xf numFmtId="0" fontId="4" fillId="33" borderId="19" xfId="0" applyFont="1" applyFill="1" applyBorder="1" applyAlignment="1" applyProtection="1">
      <alignment horizontal="center" vertical="center"/>
      <protection locked="0"/>
    </xf>
    <xf numFmtId="0" fontId="4" fillId="33" borderId="19" xfId="0" applyFont="1" applyFill="1" applyBorder="1" applyAlignment="1" applyProtection="1">
      <alignment horizontal="left" vertical="center"/>
      <protection locked="0"/>
    </xf>
    <xf numFmtId="3" fontId="0" fillId="0" borderId="19" xfId="0" applyNumberFormat="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3" fontId="0" fillId="0" borderId="18" xfId="0" applyNumberFormat="1" applyFont="1" applyBorder="1" applyAlignment="1">
      <alignment vertical="center"/>
    </xf>
    <xf numFmtId="0" fontId="4" fillId="33" borderId="12" xfId="65" applyFont="1" applyFill="1" applyBorder="1" applyAlignment="1">
      <alignment horizontal="center" vertical="center"/>
      <protection/>
    </xf>
    <xf numFmtId="0" fontId="4" fillId="33" borderId="12" xfId="65" applyFont="1" applyFill="1" applyBorder="1" applyAlignment="1">
      <alignment vertical="center" wrapText="1"/>
      <protection/>
    </xf>
    <xf numFmtId="3" fontId="4" fillId="33" borderId="12" xfId="65" applyNumberFormat="1" applyFont="1" applyFill="1" applyBorder="1" applyAlignment="1">
      <alignment vertical="center"/>
      <protection/>
    </xf>
    <xf numFmtId="0" fontId="4" fillId="33" borderId="12" xfId="65" applyFont="1" applyFill="1" applyBorder="1" applyAlignment="1">
      <alignment horizontal="left" vertical="center" wrapText="1"/>
      <protection/>
    </xf>
    <xf numFmtId="0" fontId="4" fillId="33" borderId="12" xfId="65" applyFont="1" applyFill="1" applyBorder="1" applyAlignment="1">
      <alignment horizontal="left" vertical="center" wrapText="1" indent="1"/>
      <protection/>
    </xf>
    <xf numFmtId="3" fontId="4" fillId="33" borderId="20" xfId="65" applyNumberFormat="1" applyFont="1" applyFill="1" applyBorder="1" applyAlignment="1">
      <alignment vertical="center"/>
      <protection/>
    </xf>
    <xf numFmtId="3" fontId="4" fillId="33" borderId="21" xfId="65" applyNumberFormat="1" applyFont="1" applyFill="1" applyBorder="1" applyAlignment="1">
      <alignment vertical="center"/>
      <protection/>
    </xf>
    <xf numFmtId="3" fontId="137" fillId="0" borderId="0" xfId="0" applyNumberFormat="1" applyFont="1" applyAlignment="1">
      <alignment vertical="center"/>
    </xf>
    <xf numFmtId="0" fontId="138" fillId="0" borderId="0" xfId="0" applyFont="1" applyAlignment="1">
      <alignment vertical="center"/>
    </xf>
    <xf numFmtId="0" fontId="139" fillId="0" borderId="0" xfId="0" applyFont="1" applyAlignment="1">
      <alignment/>
    </xf>
    <xf numFmtId="0" fontId="140" fillId="0" borderId="0" xfId="0" applyFont="1" applyAlignment="1">
      <alignment horizontal="left" vertical="center" wrapText="1"/>
    </xf>
    <xf numFmtId="3" fontId="0" fillId="33" borderId="19" xfId="0" applyNumberFormat="1" applyFill="1" applyBorder="1" applyAlignment="1">
      <alignment horizontal="center" vertical="center"/>
    </xf>
    <xf numFmtId="3" fontId="0" fillId="0" borderId="12" xfId="54" applyNumberFormat="1" applyFont="1" applyBorder="1" applyAlignment="1" applyProtection="1">
      <alignment vertical="center"/>
      <protection locked="0"/>
    </xf>
    <xf numFmtId="170" fontId="0" fillId="0" borderId="12" xfId="54" applyNumberFormat="1" applyFont="1" applyBorder="1" applyAlignment="1" applyProtection="1">
      <alignment vertical="center"/>
      <protection locked="0"/>
    </xf>
    <xf numFmtId="9" fontId="0" fillId="0" borderId="12" xfId="54" applyNumberFormat="1" applyFont="1" applyBorder="1" applyAlignment="1" applyProtection="1">
      <alignment horizontal="right" vertical="center"/>
      <protection locked="0"/>
    </xf>
    <xf numFmtId="9" fontId="0" fillId="0" borderId="12" xfId="54" applyNumberFormat="1" applyFont="1" applyBorder="1" applyAlignment="1" applyProtection="1">
      <alignment vertical="center"/>
      <protection locked="0"/>
    </xf>
    <xf numFmtId="3" fontId="0" fillId="0" borderId="12" xfId="54" applyNumberFormat="1" applyFont="1" applyBorder="1" applyAlignment="1" applyProtection="1" quotePrefix="1">
      <alignment horizontal="right" vertical="center"/>
      <protection locked="0"/>
    </xf>
    <xf numFmtId="170" fontId="0" fillId="2" borderId="12" xfId="54" applyNumberFormat="1" applyFont="1" applyFill="1" applyBorder="1" applyAlignment="1" applyProtection="1">
      <alignment vertical="center"/>
      <protection locked="0"/>
    </xf>
    <xf numFmtId="0" fontId="0" fillId="0" borderId="0" xfId="66" applyFont="1" applyAlignment="1">
      <alignment vertical="center"/>
      <protection/>
    </xf>
    <xf numFmtId="3" fontId="0" fillId="0" borderId="19" xfId="66" applyNumberFormat="1" applyFont="1" applyBorder="1" applyAlignment="1">
      <alignment horizontal="right" vertical="center"/>
      <protection/>
    </xf>
    <xf numFmtId="0" fontId="0" fillId="0" borderId="12" xfId="54" applyFont="1" applyBorder="1" applyAlignment="1" applyProtection="1">
      <alignment vertical="center"/>
      <protection locked="0"/>
    </xf>
    <xf numFmtId="0" fontId="0" fillId="0" borderId="12" xfId="54" applyFont="1" applyBorder="1" applyAlignment="1" applyProtection="1">
      <alignment horizontal="right" vertical="center"/>
      <protection locked="0"/>
    </xf>
    <xf numFmtId="171" fontId="0" fillId="0" borderId="12" xfId="54" applyNumberFormat="1" applyFont="1" applyBorder="1" applyAlignment="1" applyProtection="1">
      <alignment vertical="center"/>
      <protection locked="0"/>
    </xf>
    <xf numFmtId="3" fontId="0" fillId="0" borderId="13" xfId="0" applyNumberFormat="1" applyFont="1" applyBorder="1" applyAlignment="1">
      <alignment horizontal="right" vertical="center"/>
    </xf>
    <xf numFmtId="0" fontId="0" fillId="0" borderId="0" xfId="67" applyFont="1">
      <alignment/>
      <protection/>
    </xf>
    <xf numFmtId="0" fontId="0" fillId="0" borderId="0" xfId="63" applyFont="1">
      <alignment/>
      <protection/>
    </xf>
    <xf numFmtId="0" fontId="0" fillId="0" borderId="0" xfId="63" applyFont="1" applyAlignment="1">
      <alignment vertical="center"/>
      <protection/>
    </xf>
    <xf numFmtId="0" fontId="60" fillId="0" borderId="0" xfId="59" applyFont="1" applyAlignment="1">
      <alignment vertical="center"/>
      <protection/>
    </xf>
    <xf numFmtId="0" fontId="61" fillId="0" borderId="0" xfId="59" applyFont="1" applyAlignment="1">
      <alignment horizontal="center" vertical="center"/>
      <protection/>
    </xf>
    <xf numFmtId="0" fontId="4" fillId="33" borderId="19" xfId="59" applyFont="1" applyFill="1" applyBorder="1" applyAlignment="1">
      <alignment horizontal="center" vertical="center"/>
      <protection/>
    </xf>
    <xf numFmtId="3" fontId="4" fillId="33" borderId="19" xfId="59" applyNumberFormat="1" applyFont="1" applyFill="1" applyBorder="1" applyAlignment="1">
      <alignment vertical="center"/>
      <protection/>
    </xf>
    <xf numFmtId="3" fontId="4" fillId="0" borderId="19" xfId="59" applyNumberFormat="1" applyFont="1" applyBorder="1" applyAlignment="1">
      <alignment vertical="center"/>
      <protection/>
    </xf>
    <xf numFmtId="3" fontId="0" fillId="0" borderId="19" xfId="59" applyNumberFormat="1" applyFont="1" applyBorder="1" applyAlignment="1">
      <alignment vertical="center"/>
      <protection/>
    </xf>
    <xf numFmtId="0" fontId="0" fillId="0" borderId="19" xfId="59" applyFont="1" applyBorder="1" applyAlignment="1">
      <alignment vertical="center"/>
      <protection/>
    </xf>
    <xf numFmtId="3" fontId="4" fillId="0" borderId="0" xfId="59" applyNumberFormat="1" applyFont="1" applyAlignment="1">
      <alignment vertical="center"/>
      <protection/>
    </xf>
    <xf numFmtId="0" fontId="0" fillId="0" borderId="0" xfId="59" applyFont="1" applyAlignment="1">
      <alignment horizontal="left" vertical="center"/>
      <protection/>
    </xf>
    <xf numFmtId="3" fontId="0" fillId="0" borderId="19" xfId="0" applyNumberFormat="1" applyFont="1" applyBorder="1" applyAlignment="1">
      <alignment horizontal="left" vertical="center" indent="1"/>
    </xf>
    <xf numFmtId="3" fontId="0" fillId="0" borderId="18" xfId="0" applyNumberFormat="1" applyBorder="1" applyAlignment="1">
      <alignment vertical="center"/>
    </xf>
    <xf numFmtId="3" fontId="4" fillId="33" borderId="19" xfId="0" applyNumberFormat="1" applyFont="1" applyFill="1" applyBorder="1" applyAlignment="1" applyProtection="1">
      <alignment horizontal="right" vertical="center"/>
      <protection locked="0"/>
    </xf>
    <xf numFmtId="3" fontId="4" fillId="33" borderId="19" xfId="0" applyNumberFormat="1" applyFont="1" applyFill="1" applyBorder="1" applyAlignment="1" applyProtection="1">
      <alignment horizontal="center" vertical="center"/>
      <protection locked="0"/>
    </xf>
    <xf numFmtId="0" fontId="139" fillId="0" borderId="0" xfId="0" applyFont="1" applyAlignment="1">
      <alignment vertical="center"/>
    </xf>
    <xf numFmtId="0" fontId="0" fillId="0" borderId="19" xfId="0" applyBorder="1" applyAlignment="1">
      <alignment horizontal="right" vertical="center"/>
    </xf>
    <xf numFmtId="1" fontId="0" fillId="0" borderId="0" xfId="0" applyNumberFormat="1" applyAlignment="1">
      <alignment horizontal="center" vertical="center"/>
    </xf>
    <xf numFmtId="3" fontId="0" fillId="0" borderId="0" xfId="0" applyNumberFormat="1" applyFont="1" applyAlignment="1" quotePrefix="1">
      <alignment horizontal="center" vertical="center"/>
    </xf>
    <xf numFmtId="3" fontId="0" fillId="0" borderId="0" xfId="0" applyNumberFormat="1" applyAlignment="1" quotePrefix="1">
      <alignment horizontal="center" vertical="center"/>
    </xf>
    <xf numFmtId="1" fontId="21" fillId="33" borderId="0" xfId="0" applyNumberFormat="1" applyFont="1" applyFill="1" applyAlignment="1">
      <alignment horizontal="center" vertical="center" wrapText="1"/>
    </xf>
    <xf numFmtId="0" fontId="62" fillId="0" borderId="0" xfId="0" applyFont="1" applyAlignment="1">
      <alignment horizontal="center" vertical="center" wrapText="1"/>
    </xf>
    <xf numFmtId="3" fontId="4" fillId="33" borderId="19" xfId="0" applyNumberFormat="1" applyFont="1" applyFill="1" applyBorder="1" applyAlignment="1" quotePrefix="1">
      <alignment horizontal="right" vertical="center"/>
    </xf>
    <xf numFmtId="3" fontId="0" fillId="0" borderId="19" xfId="78" applyNumberFormat="1" applyFont="1" applyBorder="1" applyAlignment="1" quotePrefix="1">
      <alignment horizontal="right" vertical="center"/>
    </xf>
    <xf numFmtId="167" fontId="0" fillId="0" borderId="19" xfId="78" applyNumberFormat="1" applyFont="1" applyBorder="1" applyAlignment="1" quotePrefix="1">
      <alignment horizontal="right" vertical="center"/>
    </xf>
    <xf numFmtId="0" fontId="4" fillId="2" borderId="12" xfId="64" applyFont="1" applyFill="1" applyBorder="1" applyAlignment="1">
      <alignment horizontal="left" vertical="center"/>
      <protection/>
    </xf>
    <xf numFmtId="0" fontId="4" fillId="2" borderId="12" xfId="64" applyFont="1" applyFill="1" applyBorder="1" applyAlignment="1">
      <alignment horizontal="center" vertical="center"/>
      <protection/>
    </xf>
    <xf numFmtId="0" fontId="4" fillId="2" borderId="20" xfId="64" applyFont="1" applyFill="1" applyBorder="1" applyAlignment="1">
      <alignment horizontal="center" vertical="center"/>
      <protection/>
    </xf>
    <xf numFmtId="3" fontId="4" fillId="33" borderId="19" xfId="54" applyNumberFormat="1" applyFont="1" applyFill="1" applyBorder="1" applyAlignment="1">
      <alignment vertical="center"/>
      <protection/>
    </xf>
    <xf numFmtId="0" fontId="0" fillId="0" borderId="19" xfId="59" applyFont="1" applyBorder="1" applyAlignment="1" quotePrefix="1">
      <alignment horizontal="right" vertical="center"/>
      <protection/>
    </xf>
    <xf numFmtId="3" fontId="4" fillId="0" borderId="0" xfId="54" applyNumberFormat="1" applyFont="1" applyAlignment="1">
      <alignment vertical="center"/>
      <protection/>
    </xf>
    <xf numFmtId="3" fontId="14" fillId="0" borderId="0" xfId="54" applyNumberFormat="1" applyFont="1" applyAlignment="1">
      <alignment vertical="center"/>
      <protection/>
    </xf>
    <xf numFmtId="0" fontId="141" fillId="0" borderId="0" xfId="73" applyFont="1" applyAlignment="1">
      <alignment vertical="center"/>
      <protection/>
    </xf>
    <xf numFmtId="3" fontId="141" fillId="0" borderId="0" xfId="73" applyNumberFormat="1" applyFont="1" applyAlignment="1">
      <alignment vertical="center"/>
      <protection/>
    </xf>
    <xf numFmtId="3" fontId="141" fillId="0" borderId="0" xfId="49" applyNumberFormat="1" applyFont="1" applyAlignment="1">
      <alignment vertical="center"/>
    </xf>
    <xf numFmtId="3" fontId="141" fillId="0" borderId="0" xfId="49" applyNumberFormat="1" applyFont="1" applyAlignment="1">
      <alignment horizontal="right" vertical="center"/>
    </xf>
    <xf numFmtId="3" fontId="142" fillId="0" borderId="0" xfId="49" applyNumberFormat="1" applyFont="1" applyAlignment="1">
      <alignment horizontal="left" vertical="center"/>
    </xf>
    <xf numFmtId="0" fontId="0" fillId="0" borderId="0" xfId="76" applyFont="1" applyAlignment="1">
      <alignment horizontal="center" vertical="center"/>
      <protection/>
    </xf>
    <xf numFmtId="3" fontId="0" fillId="0" borderId="0" xfId="76" applyNumberFormat="1" applyFont="1" applyAlignment="1">
      <alignment vertical="center"/>
      <protection/>
    </xf>
    <xf numFmtId="0" fontId="22" fillId="0" borderId="0" xfId="76" applyFont="1" applyAlignment="1">
      <alignment vertical="center"/>
      <protection/>
    </xf>
    <xf numFmtId="3" fontId="0" fillId="0" borderId="19" xfId="61" applyNumberFormat="1" applyFont="1" applyBorder="1" applyAlignment="1">
      <alignment vertical="center"/>
      <protection/>
    </xf>
    <xf numFmtId="0" fontId="9" fillId="0" borderId="0" xfId="54" applyFont="1" applyAlignment="1">
      <alignment vertical="center"/>
      <protection/>
    </xf>
    <xf numFmtId="3" fontId="4" fillId="33" borderId="19" xfId="54" applyNumberFormat="1" applyFont="1" applyFill="1" applyBorder="1" applyAlignment="1">
      <alignment horizontal="center" vertical="center"/>
      <protection/>
    </xf>
    <xf numFmtId="1" fontId="4" fillId="33" borderId="19" xfId="54" applyNumberFormat="1" applyFont="1" applyFill="1" applyBorder="1" applyAlignment="1">
      <alignment vertical="center" wrapText="1"/>
      <protection/>
    </xf>
    <xf numFmtId="3" fontId="0" fillId="0" borderId="19" xfId="54" applyNumberFormat="1" applyBorder="1" applyAlignment="1">
      <alignment horizontal="right" vertical="center"/>
      <protection/>
    </xf>
    <xf numFmtId="3" fontId="130" fillId="33" borderId="19" xfId="54" applyNumberFormat="1" applyFont="1" applyFill="1" applyBorder="1" applyAlignment="1">
      <alignment horizontal="center" vertical="center"/>
      <protection/>
    </xf>
    <xf numFmtId="3" fontId="130" fillId="33" borderId="19" xfId="54" applyNumberFormat="1" applyFont="1" applyFill="1" applyBorder="1" applyAlignment="1">
      <alignment vertical="center"/>
      <protection/>
    </xf>
    <xf numFmtId="3" fontId="131" fillId="0" borderId="19" xfId="34" applyNumberFormat="1" applyFont="1" applyFill="1" applyBorder="1" applyAlignment="1">
      <alignment horizontal="right" vertical="center"/>
    </xf>
    <xf numFmtId="3" fontId="0" fillId="0" borderId="19" xfId="34" applyNumberFormat="1" applyFont="1" applyFill="1" applyBorder="1" applyAlignment="1">
      <alignment horizontal="right" vertical="center"/>
    </xf>
    <xf numFmtId="0" fontId="131" fillId="0" borderId="0" xfId="54" applyFont="1" applyAlignment="1">
      <alignment vertical="center"/>
      <protection/>
    </xf>
    <xf numFmtId="0" fontId="0" fillId="0" borderId="19" xfId="0" applyFont="1" applyBorder="1" applyAlignment="1">
      <alignment horizontal="left" vertical="center" wrapText="1" indent="1"/>
    </xf>
    <xf numFmtId="0" fontId="130" fillId="33" borderId="19" xfId="0" applyFont="1" applyFill="1" applyBorder="1" applyAlignment="1">
      <alignment horizontal="center" vertical="center"/>
    </xf>
    <xf numFmtId="3" fontId="130" fillId="33" borderId="19" xfId="0" applyNumberFormat="1" applyFont="1" applyFill="1" applyBorder="1" applyAlignment="1">
      <alignment horizontal="right" vertical="center"/>
    </xf>
    <xf numFmtId="3" fontId="131" fillId="0" borderId="19" xfId="0" applyNumberFormat="1" applyFont="1" applyBorder="1" applyAlignment="1">
      <alignment horizontal="right" vertical="center"/>
    </xf>
    <xf numFmtId="167" fontId="131" fillId="0" borderId="19" xfId="78" applyNumberFormat="1" applyFont="1" applyBorder="1" applyAlignment="1">
      <alignment horizontal="right" vertical="center"/>
    </xf>
    <xf numFmtId="0" fontId="136" fillId="0" borderId="0" xfId="0" applyFont="1" applyAlignment="1">
      <alignment/>
    </xf>
    <xf numFmtId="0" fontId="131" fillId="0" borderId="0" xfId="0" applyFont="1" applyAlignment="1">
      <alignment/>
    </xf>
    <xf numFmtId="0" fontId="130" fillId="33" borderId="19" xfId="0" applyFont="1" applyFill="1" applyBorder="1" applyAlignment="1">
      <alignment horizontal="left" vertical="center"/>
    </xf>
    <xf numFmtId="3" fontId="131" fillId="0" borderId="19" xfId="0" applyNumberFormat="1" applyFont="1" applyBorder="1" applyAlignment="1">
      <alignment vertical="center"/>
    </xf>
    <xf numFmtId="3" fontId="130" fillId="33" borderId="19" xfId="0" applyNumberFormat="1" applyFont="1" applyFill="1" applyBorder="1" applyAlignment="1">
      <alignment horizontal="left" vertical="center"/>
    </xf>
    <xf numFmtId="3" fontId="131" fillId="33" borderId="19" xfId="0" applyNumberFormat="1" applyFont="1" applyFill="1" applyBorder="1" applyAlignment="1">
      <alignment horizontal="center" vertical="center"/>
    </xf>
    <xf numFmtId="0" fontId="131" fillId="0" borderId="0" xfId="0" applyFont="1" applyAlignment="1">
      <alignment vertical="center"/>
    </xf>
    <xf numFmtId="0" fontId="3" fillId="0" borderId="0" xfId="54" applyFont="1" applyAlignment="1">
      <alignment vertical="center"/>
      <protection/>
    </xf>
    <xf numFmtId="0" fontId="0" fillId="0" borderId="0" xfId="54" applyAlignment="1">
      <alignment horizontal="center" vertical="center"/>
      <protection/>
    </xf>
    <xf numFmtId="0" fontId="4" fillId="0" borderId="0" xfId="54" applyFont="1" applyAlignment="1">
      <alignment horizontal="center" vertical="center"/>
      <protection/>
    </xf>
    <xf numFmtId="0" fontId="4" fillId="33" borderId="19" xfId="54" applyFont="1" applyFill="1" applyBorder="1" applyAlignment="1">
      <alignment horizontal="center" vertical="center"/>
      <protection/>
    </xf>
    <xf numFmtId="0" fontId="4" fillId="33" borderId="19" xfId="54" applyFont="1" applyFill="1" applyBorder="1" applyAlignment="1">
      <alignment vertical="center"/>
      <protection/>
    </xf>
    <xf numFmtId="3" fontId="4" fillId="33" borderId="19" xfId="54" applyNumberFormat="1" applyFont="1" applyFill="1" applyBorder="1" applyAlignment="1">
      <alignment vertical="center"/>
      <protection/>
    </xf>
    <xf numFmtId="0" fontId="4" fillId="33" borderId="19" xfId="54" applyFont="1" applyFill="1" applyBorder="1" applyAlignment="1">
      <alignment horizontal="left" vertical="center" indent="2"/>
      <protection/>
    </xf>
    <xf numFmtId="167" fontId="4" fillId="33" borderId="19" xfId="78" applyNumberFormat="1" applyFont="1" applyFill="1" applyBorder="1" applyAlignment="1">
      <alignment vertical="center"/>
    </xf>
    <xf numFmtId="0" fontId="0" fillId="0" borderId="19" xfId="54" applyBorder="1" applyAlignment="1">
      <alignment horizontal="left" vertical="center" indent="1"/>
      <protection/>
    </xf>
    <xf numFmtId="3" fontId="0" fillId="0" borderId="19" xfId="54" applyNumberFormat="1" applyBorder="1" applyAlignment="1">
      <alignment vertical="center"/>
      <protection/>
    </xf>
    <xf numFmtId="0" fontId="0" fillId="0" borderId="19" xfId="54" applyBorder="1" applyAlignment="1">
      <alignment horizontal="left" vertical="center" indent="2"/>
      <protection/>
    </xf>
    <xf numFmtId="167" fontId="0" fillId="0" borderId="19" xfId="78" applyNumberFormat="1" applyBorder="1" applyAlignment="1">
      <alignment vertical="center"/>
    </xf>
    <xf numFmtId="9" fontId="0" fillId="0" borderId="19" xfId="78" applyBorder="1" applyAlignment="1">
      <alignment horizontal="left" vertical="center" indent="2"/>
    </xf>
    <xf numFmtId="167" fontId="113" fillId="0" borderId="19" xfId="78" applyNumberFormat="1" applyFont="1" applyBorder="1" applyAlignment="1">
      <alignment vertical="center"/>
    </xf>
    <xf numFmtId="3" fontId="0" fillId="0" borderId="19" xfId="54" applyNumberFormat="1" applyBorder="1" applyAlignment="1">
      <alignment horizontal="right" vertical="center"/>
      <protection/>
    </xf>
    <xf numFmtId="164" fontId="0" fillId="0" borderId="0" xfId="54" applyNumberFormat="1" applyAlignment="1">
      <alignment vertical="center"/>
      <protection/>
    </xf>
    <xf numFmtId="3" fontId="0" fillId="0" borderId="0" xfId="54" applyNumberFormat="1" applyAlignment="1">
      <alignment vertical="center"/>
      <protection/>
    </xf>
    <xf numFmtId="0" fontId="0" fillId="0" borderId="0" xfId="54" applyAlignment="1">
      <alignment horizontal="right" vertical="center"/>
      <protection/>
    </xf>
    <xf numFmtId="3" fontId="0" fillId="0" borderId="0" xfId="54" applyNumberFormat="1">
      <alignment/>
      <protection/>
    </xf>
    <xf numFmtId="1" fontId="0" fillId="0" borderId="0" xfId="78" applyNumberFormat="1" applyAlignment="1">
      <alignment/>
    </xf>
    <xf numFmtId="167" fontId="0" fillId="0" borderId="0" xfId="78" applyNumberFormat="1" applyAlignment="1">
      <alignment/>
    </xf>
    <xf numFmtId="167" fontId="0" fillId="0" borderId="0" xfId="78" applyNumberFormat="1" applyAlignment="1">
      <alignment vertical="center"/>
    </xf>
    <xf numFmtId="168" fontId="0" fillId="0" borderId="0" xfId="54" applyNumberFormat="1" applyAlignment="1">
      <alignment vertical="center"/>
      <protection/>
    </xf>
    <xf numFmtId="164" fontId="136" fillId="0" borderId="0" xfId="54" applyNumberFormat="1" applyFont="1" applyAlignment="1">
      <alignment vertical="center"/>
      <protection/>
    </xf>
    <xf numFmtId="3" fontId="136" fillId="0" borderId="0" xfId="54" applyNumberFormat="1" applyFont="1" applyAlignment="1">
      <alignment vertical="center"/>
      <protection/>
    </xf>
    <xf numFmtId="0" fontId="13" fillId="0" borderId="0" xfId="54" applyFont="1" applyAlignment="1">
      <alignment horizontal="center" vertical="center"/>
      <protection/>
    </xf>
    <xf numFmtId="171" fontId="0" fillId="0" borderId="0" xfId="54" applyNumberFormat="1" applyAlignment="1">
      <alignment vertical="center"/>
      <protection/>
    </xf>
    <xf numFmtId="0" fontId="136" fillId="0" borderId="0" xfId="54" applyFont="1" applyAlignment="1">
      <alignment vertical="center"/>
      <protection/>
    </xf>
    <xf numFmtId="0" fontId="13" fillId="0" borderId="0" xfId="54" applyFont="1" applyAlignment="1">
      <alignment vertical="center"/>
      <protection/>
    </xf>
    <xf numFmtId="0" fontId="4" fillId="33" borderId="15" xfId="54" applyFont="1" applyFill="1" applyBorder="1" applyAlignment="1">
      <alignment horizontal="center" vertical="center"/>
      <protection/>
    </xf>
    <xf numFmtId="0" fontId="4" fillId="33" borderId="19" xfId="54" applyFont="1" applyFill="1" applyBorder="1" applyAlignment="1">
      <alignment horizontal="left" vertical="center"/>
      <protection/>
    </xf>
    <xf numFmtId="3" fontId="143" fillId="0" borderId="19" xfId="54" applyNumberFormat="1" applyFont="1" applyBorder="1" applyAlignment="1">
      <alignment vertical="center"/>
      <protection/>
    </xf>
    <xf numFmtId="164" fontId="0" fillId="0" borderId="0" xfId="54" applyNumberFormat="1" applyAlignment="1">
      <alignment horizontal="center" vertical="center"/>
      <protection/>
    </xf>
    <xf numFmtId="164" fontId="136" fillId="0" borderId="0" xfId="54" applyNumberFormat="1" applyFont="1" applyAlignment="1">
      <alignment horizontal="center" vertical="center"/>
      <protection/>
    </xf>
    <xf numFmtId="0" fontId="4" fillId="37" borderId="19" xfId="54" applyFont="1" applyFill="1" applyBorder="1" applyAlignment="1">
      <alignment horizontal="center" vertical="center"/>
      <protection/>
    </xf>
    <xf numFmtId="164" fontId="4" fillId="33" borderId="19" xfId="54" applyNumberFormat="1" applyFont="1" applyFill="1" applyBorder="1" applyAlignment="1">
      <alignment vertical="center"/>
      <protection/>
    </xf>
    <xf numFmtId="166" fontId="0" fillId="0" borderId="0" xfId="54" applyNumberFormat="1" applyAlignment="1">
      <alignment vertical="center"/>
      <protection/>
    </xf>
    <xf numFmtId="0" fontId="4" fillId="33" borderId="19" xfId="54" applyFont="1" applyFill="1" applyBorder="1" applyAlignment="1">
      <alignment horizontal="left" vertical="center" indent="1"/>
      <protection/>
    </xf>
    <xf numFmtId="164" fontId="0" fillId="0" borderId="19" xfId="54" applyNumberFormat="1" applyBorder="1" applyAlignment="1">
      <alignment horizontal="left" vertical="center"/>
      <protection/>
    </xf>
    <xf numFmtId="169" fontId="0" fillId="0" borderId="0" xfId="54" applyNumberFormat="1" applyAlignment="1">
      <alignment vertical="center"/>
      <protection/>
    </xf>
    <xf numFmtId="9" fontId="0" fillId="0" borderId="19" xfId="78" applyBorder="1" applyAlignment="1">
      <alignment horizontal="left" vertical="center" indent="1"/>
    </xf>
    <xf numFmtId="164" fontId="0" fillId="0" borderId="19" xfId="54" applyNumberFormat="1" applyBorder="1" applyAlignment="1">
      <alignment vertical="center"/>
      <protection/>
    </xf>
    <xf numFmtId="0" fontId="0" fillId="0" borderId="0" xfId="54" applyAlignment="1">
      <alignment horizontal="left" vertical="center"/>
      <protection/>
    </xf>
    <xf numFmtId="0" fontId="4" fillId="33" borderId="19" xfId="54" applyFont="1" applyFill="1" applyBorder="1" applyAlignment="1" applyProtection="1">
      <alignment vertical="center"/>
      <protection locked="0"/>
    </xf>
    <xf numFmtId="3" fontId="144" fillId="33" borderId="19" xfId="54" applyNumberFormat="1" applyFont="1" applyFill="1" applyBorder="1" applyAlignment="1" applyProtection="1">
      <alignment vertical="center"/>
      <protection locked="0"/>
    </xf>
    <xf numFmtId="3" fontId="4" fillId="33" borderId="19" xfId="54" applyNumberFormat="1" applyFont="1" applyFill="1" applyBorder="1" applyAlignment="1" applyProtection="1">
      <alignment vertical="center"/>
      <protection locked="0"/>
    </xf>
    <xf numFmtId="0" fontId="0" fillId="0" borderId="19" xfId="54" applyBorder="1" applyAlignment="1" applyProtection="1">
      <alignment horizontal="left" vertical="center" wrapText="1" indent="1"/>
      <protection locked="0"/>
    </xf>
    <xf numFmtId="3" fontId="0" fillId="0" borderId="19" xfId="54" applyNumberFormat="1" applyBorder="1" applyAlignment="1" applyProtection="1">
      <alignment vertical="center"/>
      <protection locked="0"/>
    </xf>
    <xf numFmtId="3" fontId="145" fillId="0" borderId="19" xfId="54" applyNumberFormat="1" applyFont="1" applyBorder="1" applyAlignment="1" applyProtection="1">
      <alignment vertical="center"/>
      <protection locked="0"/>
    </xf>
    <xf numFmtId="0" fontId="0" fillId="0" borderId="0" xfId="54" applyAlignment="1" applyProtection="1">
      <alignment horizontal="left" vertical="center" wrapText="1" indent="1"/>
      <protection locked="0"/>
    </xf>
    <xf numFmtId="3" fontId="0" fillId="0" borderId="0" xfId="54" applyNumberFormat="1" applyAlignment="1" applyProtection="1">
      <alignment vertical="center"/>
      <protection locked="0"/>
    </xf>
    <xf numFmtId="3" fontId="0" fillId="0" borderId="19" xfId="54" applyNumberFormat="1" applyFont="1" applyBorder="1" applyAlignment="1">
      <alignment vertical="center"/>
      <protection/>
    </xf>
    <xf numFmtId="167" fontId="0" fillId="0" borderId="19" xfId="78" applyNumberFormat="1" applyFont="1" applyBorder="1" applyAlignment="1">
      <alignment horizontal="right" vertical="center"/>
    </xf>
    <xf numFmtId="167" fontId="0" fillId="0" borderId="19" xfId="78" applyNumberFormat="1" applyFont="1" applyBorder="1" applyAlignment="1">
      <alignment vertical="center"/>
    </xf>
    <xf numFmtId="3" fontId="0" fillId="0" borderId="19" xfId="0" applyNumberFormat="1" applyFont="1" applyBorder="1" applyAlignment="1" applyProtection="1">
      <alignment horizontal="right" vertical="center"/>
      <protection locked="0"/>
    </xf>
    <xf numFmtId="3" fontId="0" fillId="0" borderId="13" xfId="0" applyNumberFormat="1" applyFont="1" applyBorder="1" applyAlignment="1" applyProtection="1">
      <alignment horizontal="right" vertical="center"/>
      <protection locked="0"/>
    </xf>
    <xf numFmtId="3" fontId="131" fillId="0" borderId="0" xfId="0" applyNumberFormat="1" applyFont="1" applyAlignment="1">
      <alignment/>
    </xf>
    <xf numFmtId="167" fontId="0" fillId="0" borderId="19" xfId="78" applyNumberFormat="1" applyFont="1" applyBorder="1" applyAlignment="1">
      <alignment vertical="center"/>
    </xf>
    <xf numFmtId="9" fontId="0" fillId="0" borderId="0" xfId="54" applyNumberFormat="1">
      <alignment/>
      <protection/>
    </xf>
    <xf numFmtId="9" fontId="18" fillId="0" borderId="0" xfId="78" applyFont="1" applyBorder="1" applyAlignment="1">
      <alignment vertical="center"/>
    </xf>
    <xf numFmtId="3" fontId="0" fillId="0" borderId="19" xfId="78" applyNumberFormat="1" applyFont="1" applyFill="1" applyBorder="1" applyAlignment="1" quotePrefix="1">
      <alignment horizontal="right" vertical="center"/>
    </xf>
    <xf numFmtId="167" fontId="0" fillId="0" borderId="19" xfId="78" applyNumberFormat="1" applyFont="1" applyFill="1" applyBorder="1" applyAlignment="1" quotePrefix="1">
      <alignment horizontal="right" vertical="center"/>
    </xf>
    <xf numFmtId="3" fontId="131" fillId="0" borderId="19" xfId="0" applyNumberFormat="1" applyFont="1" applyBorder="1" applyAlignment="1" applyProtection="1">
      <alignment horizontal="right" vertical="center"/>
      <protection locked="0"/>
    </xf>
    <xf numFmtId="3" fontId="130" fillId="33" borderId="19" xfId="0" applyNumberFormat="1" applyFont="1" applyFill="1" applyBorder="1" applyAlignment="1" applyProtection="1">
      <alignment horizontal="right" vertical="center"/>
      <protection locked="0"/>
    </xf>
    <xf numFmtId="3" fontId="130" fillId="33" borderId="19" xfId="0" applyNumberFormat="1" applyFont="1" applyFill="1" applyBorder="1" applyAlignment="1" applyProtection="1">
      <alignment horizontal="center" vertical="center"/>
      <protection locked="0"/>
    </xf>
    <xf numFmtId="0" fontId="132" fillId="0" borderId="0" xfId="0" applyFont="1" applyAlignment="1">
      <alignment/>
    </xf>
    <xf numFmtId="3" fontId="130" fillId="33" borderId="19" xfId="0" applyNumberFormat="1" applyFont="1" applyFill="1" applyBorder="1" applyAlignment="1">
      <alignment vertical="center"/>
    </xf>
    <xf numFmtId="3" fontId="131" fillId="0" borderId="19" xfId="34" applyNumberFormat="1" applyFont="1" applyFill="1" applyBorder="1" applyAlignment="1" quotePrefix="1">
      <alignment horizontal="right" vertical="center"/>
    </xf>
    <xf numFmtId="0" fontId="131" fillId="0" borderId="19" xfId="54" applyFont="1" applyBorder="1" applyAlignment="1">
      <alignment horizontal="left" vertical="center" indent="1"/>
      <protection/>
    </xf>
    <xf numFmtId="0" fontId="146" fillId="0" borderId="0" xfId="0" applyFont="1" applyAlignment="1">
      <alignment/>
    </xf>
    <xf numFmtId="3" fontId="0" fillId="33" borderId="19" xfId="0" applyNumberFormat="1" applyFont="1" applyFill="1" applyBorder="1" applyAlignment="1">
      <alignment horizontal="center" vertical="center"/>
    </xf>
    <xf numFmtId="0" fontId="147" fillId="33" borderId="19" xfId="0" applyFont="1" applyFill="1" applyBorder="1" applyAlignment="1">
      <alignment horizontal="center" vertical="center"/>
    </xf>
    <xf numFmtId="3" fontId="147" fillId="0" borderId="0" xfId="0" applyNumberFormat="1" applyFont="1" applyAlignment="1">
      <alignment vertical="center"/>
    </xf>
    <xf numFmtId="3" fontId="146" fillId="0" borderId="19" xfId="0" applyNumberFormat="1" applyFont="1" applyBorder="1" applyAlignment="1">
      <alignment horizontal="right" vertical="center"/>
    </xf>
    <xf numFmtId="0" fontId="146" fillId="0" borderId="0" xfId="0" applyFont="1" applyAlignment="1">
      <alignment horizontal="center" vertical="center"/>
    </xf>
    <xf numFmtId="4" fontId="0" fillId="0" borderId="20" xfId="64" applyNumberFormat="1" applyBorder="1" applyAlignment="1">
      <alignment vertical="center"/>
      <protection/>
    </xf>
    <xf numFmtId="4" fontId="0" fillId="0" borderId="21" xfId="64" applyNumberFormat="1" applyBorder="1" applyAlignment="1">
      <alignment vertical="center"/>
      <protection/>
    </xf>
    <xf numFmtId="0" fontId="130" fillId="33" borderId="12" xfId="65" applyFont="1" applyFill="1" applyBorder="1" applyAlignment="1">
      <alignment horizontal="center" vertical="center"/>
      <protection/>
    </xf>
    <xf numFmtId="3" fontId="130" fillId="33" borderId="12" xfId="65" applyNumberFormat="1" applyFont="1" applyFill="1" applyBorder="1" applyAlignment="1">
      <alignment vertical="center"/>
      <protection/>
    </xf>
    <xf numFmtId="3" fontId="131" fillId="0" borderId="19" xfId="65" applyNumberFormat="1" applyFont="1" applyBorder="1" applyAlignment="1">
      <alignment horizontal="right" vertical="center"/>
      <protection/>
    </xf>
    <xf numFmtId="3" fontId="146" fillId="0" borderId="0" xfId="54" applyNumberFormat="1" applyFont="1" applyAlignment="1">
      <alignment vertical="center"/>
      <protection/>
    </xf>
    <xf numFmtId="0" fontId="146" fillId="0" borderId="0" xfId="0" applyFont="1" applyAlignment="1">
      <alignment vertical="center"/>
    </xf>
    <xf numFmtId="0" fontId="148" fillId="0" borderId="0" xfId="0" applyFont="1" applyAlignment="1">
      <alignment vertical="center"/>
    </xf>
    <xf numFmtId="3" fontId="4" fillId="38" borderId="13" xfId="54" applyNumberFormat="1" applyFont="1" applyFill="1" applyBorder="1" applyAlignment="1">
      <alignment vertical="center"/>
      <protection/>
    </xf>
    <xf numFmtId="167" fontId="4" fillId="38" borderId="13" xfId="54" applyNumberFormat="1" applyFont="1" applyFill="1" applyBorder="1" applyAlignment="1">
      <alignment vertical="center"/>
      <protection/>
    </xf>
    <xf numFmtId="3" fontId="0" fillId="0" borderId="13" xfId="54" applyNumberFormat="1" applyBorder="1" applyAlignment="1">
      <alignment vertical="center"/>
      <protection/>
    </xf>
    <xf numFmtId="167" fontId="0" fillId="0" borderId="13" xfId="54" applyNumberFormat="1" applyBorder="1" applyAlignment="1">
      <alignment horizontal="right" vertical="center"/>
      <protection/>
    </xf>
    <xf numFmtId="167" fontId="0" fillId="0" borderId="13" xfId="54" applyNumberFormat="1" applyBorder="1" applyAlignment="1">
      <alignment vertical="center"/>
      <protection/>
    </xf>
    <xf numFmtId="167" fontId="113" fillId="0" borderId="0" xfId="78" applyNumberFormat="1" applyFont="1" applyAlignment="1">
      <alignment/>
    </xf>
    <xf numFmtId="0" fontId="149" fillId="0" borderId="0" xfId="54" applyFont="1" applyAlignment="1">
      <alignment vertical="center"/>
      <protection/>
    </xf>
    <xf numFmtId="3" fontId="147" fillId="33" borderId="19" xfId="0" applyNumberFormat="1" applyFont="1" applyFill="1" applyBorder="1" applyAlignment="1">
      <alignment horizontal="right" vertical="center"/>
    </xf>
    <xf numFmtId="0" fontId="150" fillId="0" borderId="0" xfId="0" applyFont="1" applyAlignment="1">
      <alignment vertical="center"/>
    </xf>
    <xf numFmtId="3" fontId="146" fillId="0" borderId="0" xfId="0" applyNumberFormat="1" applyFont="1" applyAlignment="1">
      <alignment vertical="center"/>
    </xf>
    <xf numFmtId="3" fontId="4" fillId="33" borderId="19" xfId="0" applyNumberFormat="1" applyFont="1" applyFill="1" applyBorder="1" applyAlignment="1" applyProtection="1">
      <alignment vertical="center"/>
      <protection locked="0"/>
    </xf>
    <xf numFmtId="3" fontId="0" fillId="0" borderId="19" xfId="0" applyNumberFormat="1" applyFont="1" applyBorder="1" applyAlignment="1" applyProtection="1">
      <alignment vertical="center"/>
      <protection locked="0"/>
    </xf>
    <xf numFmtId="3" fontId="0" fillId="0" borderId="19" xfId="34" applyNumberFormat="1" applyFont="1" applyFill="1" applyBorder="1" applyAlignment="1" quotePrefix="1">
      <alignment horizontal="right" vertical="center"/>
    </xf>
    <xf numFmtId="3" fontId="151" fillId="0" borderId="0" xfId="49" applyNumberFormat="1" applyFont="1" applyAlignment="1" quotePrefix="1">
      <alignment horizontal="right" vertical="center"/>
    </xf>
    <xf numFmtId="3" fontId="0" fillId="0" borderId="19" xfId="59" applyNumberFormat="1" applyFont="1" applyBorder="1" applyAlignment="1">
      <alignment horizontal="right" vertical="center"/>
      <protection/>
    </xf>
    <xf numFmtId="3" fontId="131" fillId="0" borderId="19" xfId="0" applyNumberFormat="1" applyFont="1" applyBorder="1" applyAlignment="1" quotePrefix="1">
      <alignment horizontal="right" vertical="center"/>
    </xf>
    <xf numFmtId="0" fontId="4" fillId="39" borderId="19" xfId="0" applyFont="1" applyFill="1" applyBorder="1" applyAlignment="1">
      <alignment vertical="center"/>
    </xf>
    <xf numFmtId="3" fontId="4" fillId="39" borderId="19" xfId="0" applyNumberFormat="1" applyFont="1" applyFill="1" applyBorder="1" applyAlignment="1">
      <alignment horizontal="right" vertical="center"/>
    </xf>
    <xf numFmtId="3" fontId="130" fillId="39" borderId="19" xfId="0" applyNumberFormat="1" applyFont="1" applyFill="1" applyBorder="1" applyAlignment="1">
      <alignment horizontal="right" vertical="center"/>
    </xf>
    <xf numFmtId="167" fontId="146" fillId="0" borderId="19" xfId="78" applyNumberFormat="1" applyFont="1" applyBorder="1" applyAlignment="1">
      <alignment horizontal="right" vertical="center"/>
    </xf>
    <xf numFmtId="0" fontId="147" fillId="0" borderId="0" xfId="73" applyFont="1" applyAlignment="1">
      <alignment horizontal="center" vertical="center"/>
      <protection/>
    </xf>
    <xf numFmtId="0" fontId="147" fillId="0" borderId="0" xfId="73" applyFont="1" applyAlignment="1">
      <alignment vertical="center"/>
      <protection/>
    </xf>
    <xf numFmtId="3" fontId="147" fillId="0" borderId="0" xfId="73" applyNumberFormat="1" applyFont="1" applyAlignment="1">
      <alignment vertical="center"/>
      <protection/>
    </xf>
    <xf numFmtId="3" fontId="147" fillId="0" borderId="0" xfId="49" applyNumberFormat="1" applyFont="1" applyAlignment="1">
      <alignment vertical="center"/>
    </xf>
    <xf numFmtId="3" fontId="147" fillId="0" borderId="0" xfId="49" applyNumberFormat="1" applyFont="1" applyAlignment="1">
      <alignment horizontal="right" vertical="center"/>
    </xf>
    <xf numFmtId="0" fontId="146" fillId="0" borderId="0" xfId="73" applyFont="1" applyAlignment="1">
      <alignment vertical="center"/>
      <protection/>
    </xf>
    <xf numFmtId="0" fontId="147" fillId="0" borderId="0" xfId="74" applyFont="1" applyAlignment="1">
      <alignment horizontal="center" vertical="center"/>
      <protection/>
    </xf>
    <xf numFmtId="38" fontId="147" fillId="0" borderId="0" xfId="50" applyFont="1" applyBorder="1" applyAlignment="1">
      <alignment vertical="center"/>
    </xf>
    <xf numFmtId="38" fontId="147" fillId="0" borderId="0" xfId="50" applyFont="1" applyBorder="1" applyAlignment="1" quotePrefix="1">
      <alignment horizontal="right" vertical="center"/>
    </xf>
    <xf numFmtId="3" fontId="152" fillId="0" borderId="0" xfId="0" applyNumberFormat="1" applyFont="1" applyAlignment="1">
      <alignment vertical="center"/>
    </xf>
    <xf numFmtId="38" fontId="147" fillId="0" borderId="0" xfId="50" applyFont="1" applyBorder="1" applyAlignment="1">
      <alignment horizontal="right" vertical="center"/>
    </xf>
    <xf numFmtId="3" fontId="147" fillId="0" borderId="0" xfId="74" applyNumberFormat="1" applyFont="1" applyAlignment="1">
      <alignment vertical="center"/>
      <protection/>
    </xf>
    <xf numFmtId="0" fontId="147" fillId="0" borderId="0" xfId="74" applyFont="1" applyAlignment="1">
      <alignment vertical="center"/>
      <protection/>
    </xf>
    <xf numFmtId="0" fontId="147" fillId="0" borderId="0" xfId="0" applyFont="1" applyAlignment="1">
      <alignment vertical="center"/>
    </xf>
    <xf numFmtId="0" fontId="4" fillId="33" borderId="19" xfId="54" applyFont="1" applyFill="1" applyBorder="1" applyAlignment="1">
      <alignment horizontal="center" vertical="center"/>
      <protection/>
    </xf>
    <xf numFmtId="0" fontId="4" fillId="33" borderId="19" xfId="54" applyFont="1" applyFill="1" applyBorder="1" applyAlignment="1">
      <alignment vertical="center"/>
      <protection/>
    </xf>
    <xf numFmtId="3" fontId="4" fillId="33" borderId="19" xfId="54" applyNumberFormat="1" applyFont="1" applyFill="1" applyBorder="1" applyAlignment="1">
      <alignment horizontal="right" vertical="center"/>
      <protection/>
    </xf>
    <xf numFmtId="0" fontId="0" fillId="0" borderId="19" xfId="54" applyBorder="1" applyAlignment="1">
      <alignment horizontal="left" vertical="center" indent="1"/>
      <protection/>
    </xf>
    <xf numFmtId="3" fontId="20" fillId="0" borderId="19" xfId="54" applyNumberFormat="1" applyFont="1" applyBorder="1" applyAlignment="1">
      <alignment horizontal="right" vertical="center"/>
      <protection/>
    </xf>
    <xf numFmtId="0" fontId="7" fillId="0" borderId="0" xfId="55" applyFont="1" applyAlignment="1">
      <alignment vertical="center"/>
      <protection/>
    </xf>
    <xf numFmtId="0" fontId="153" fillId="0" borderId="0" xfId="54" applyFont="1">
      <alignment/>
      <protection/>
    </xf>
    <xf numFmtId="0" fontId="153" fillId="0" borderId="0" xfId="54" applyFont="1" applyAlignment="1">
      <alignment vertical="center"/>
      <protection/>
    </xf>
    <xf numFmtId="0" fontId="17" fillId="0" borderId="0" xfId="55" applyFont="1" applyAlignment="1">
      <alignment vertical="center"/>
      <protection/>
    </xf>
    <xf numFmtId="3" fontId="29" fillId="0" borderId="0" xfId="54" applyNumberFormat="1" applyFont="1" applyAlignment="1">
      <alignment vertical="center"/>
      <protection/>
    </xf>
    <xf numFmtId="3" fontId="0" fillId="0" borderId="19" xfId="54" applyNumberFormat="1" applyBorder="1" applyAlignment="1" quotePrefix="1">
      <alignment horizontal="right" vertical="center"/>
      <protection/>
    </xf>
    <xf numFmtId="3" fontId="0" fillId="0" borderId="0" xfId="54" applyNumberFormat="1" applyAlignment="1">
      <alignment horizontal="right" vertical="center"/>
      <protection/>
    </xf>
    <xf numFmtId="0" fontId="4" fillId="0" borderId="10" xfId="54" applyFont="1" applyBorder="1" applyAlignment="1">
      <alignment horizontal="center" vertical="center"/>
      <protection/>
    </xf>
    <xf numFmtId="0" fontId="0" fillId="33" borderId="19" xfId="54" applyFill="1" applyBorder="1" applyAlignment="1">
      <alignment horizontal="left" vertical="center"/>
      <protection/>
    </xf>
    <xf numFmtId="3" fontId="0" fillId="33" borderId="19" xfId="54" applyNumberFormat="1" applyFill="1" applyBorder="1" applyAlignment="1">
      <alignment horizontal="right" vertical="center"/>
      <protection/>
    </xf>
    <xf numFmtId="3" fontId="9" fillId="0" borderId="0" xfId="54" applyNumberFormat="1" applyFont="1" applyAlignment="1">
      <alignment vertical="center"/>
      <protection/>
    </xf>
    <xf numFmtId="3" fontId="4" fillId="0" borderId="10" xfId="54" applyNumberFormat="1" applyFont="1" applyBorder="1" applyAlignment="1">
      <alignment horizontal="left" vertical="center"/>
      <protection/>
    </xf>
    <xf numFmtId="1" fontId="4" fillId="33" borderId="19" xfId="54" applyNumberFormat="1" applyFont="1" applyFill="1" applyBorder="1" applyAlignment="1">
      <alignment horizontal="center" vertical="center"/>
      <protection/>
    </xf>
    <xf numFmtId="1" fontId="154" fillId="33" borderId="19" xfId="54" applyNumberFormat="1" applyFont="1" applyFill="1" applyBorder="1" applyAlignment="1">
      <alignment horizontal="center" vertical="center"/>
      <protection/>
    </xf>
    <xf numFmtId="3" fontId="154" fillId="33" borderId="19" xfId="54" applyNumberFormat="1" applyFont="1" applyFill="1" applyBorder="1" applyAlignment="1">
      <alignment vertical="center"/>
      <protection/>
    </xf>
    <xf numFmtId="3" fontId="0" fillId="0" borderId="19" xfId="54" applyNumberFormat="1" applyBorder="1" applyAlignment="1">
      <alignment horizontal="left" vertical="center" indent="1"/>
      <protection/>
    </xf>
    <xf numFmtId="3" fontId="0" fillId="0" borderId="19" xfId="54" applyNumberFormat="1" applyBorder="1" applyAlignment="1">
      <alignment vertical="center"/>
      <protection/>
    </xf>
    <xf numFmtId="3" fontId="143" fillId="0" borderId="19" xfId="54" applyNumberFormat="1" applyFont="1" applyBorder="1" applyAlignment="1">
      <alignment vertical="center"/>
      <protection/>
    </xf>
    <xf numFmtId="3" fontId="143" fillId="0" borderId="19" xfId="54" applyNumberFormat="1" applyFont="1" applyBorder="1" applyAlignment="1" quotePrefix="1">
      <alignment horizontal="right" vertical="center"/>
      <protection/>
    </xf>
    <xf numFmtId="3" fontId="0" fillId="0" borderId="19" xfId="54" applyNumberFormat="1" applyBorder="1" applyAlignment="1">
      <alignment horizontal="left" vertical="center" indent="2"/>
      <protection/>
    </xf>
    <xf numFmtId="167" fontId="143" fillId="0" borderId="19" xfId="78" applyNumberFormat="1" applyFont="1" applyBorder="1" applyAlignment="1">
      <alignment vertical="center"/>
    </xf>
    <xf numFmtId="3" fontId="143" fillId="0" borderId="19" xfId="54" applyNumberFormat="1" applyFont="1" applyBorder="1" applyAlignment="1">
      <alignment horizontal="right" vertical="center"/>
      <protection/>
    </xf>
    <xf numFmtId="167" fontId="20" fillId="0" borderId="19" xfId="78" applyNumberFormat="1" applyFont="1" applyBorder="1" applyAlignment="1">
      <alignment vertical="center"/>
    </xf>
    <xf numFmtId="3" fontId="0" fillId="0" borderId="19" xfId="54" applyNumberFormat="1" applyBorder="1" applyAlignment="1">
      <alignment horizontal="left" vertical="center" indent="3"/>
      <protection/>
    </xf>
    <xf numFmtId="167" fontId="0" fillId="0" borderId="19" xfId="78" applyNumberFormat="1" applyFont="1" applyFill="1" applyBorder="1" applyAlignment="1">
      <alignment vertical="center"/>
    </xf>
    <xf numFmtId="167" fontId="0" fillId="0" borderId="19" xfId="78" applyNumberFormat="1" applyFont="1" applyFill="1" applyBorder="1" applyAlignment="1">
      <alignment vertical="center"/>
    </xf>
    <xf numFmtId="3" fontId="4" fillId="0" borderId="0" xfId="54" applyNumberFormat="1" applyFont="1" applyAlignment="1">
      <alignment horizontal="right" vertical="center"/>
      <protection/>
    </xf>
    <xf numFmtId="1" fontId="13" fillId="0" borderId="0" xfId="54" applyNumberFormat="1" applyFont="1" applyAlignment="1">
      <alignment horizontal="center" vertical="center"/>
      <protection/>
    </xf>
    <xf numFmtId="0" fontId="4" fillId="33" borderId="19" xfId="54" applyFont="1" applyFill="1" applyBorder="1" applyAlignment="1">
      <alignment horizontal="left" vertical="center"/>
      <protection/>
    </xf>
    <xf numFmtId="164" fontId="0" fillId="0" borderId="0" xfId="70" applyNumberFormat="1" applyAlignment="1">
      <alignment vertical="center"/>
      <protection/>
    </xf>
    <xf numFmtId="0" fontId="155" fillId="33" borderId="0" xfId="0" applyFont="1" applyFill="1" applyAlignment="1">
      <alignment horizontal="center" vertical="center"/>
    </xf>
    <xf numFmtId="0" fontId="156" fillId="33" borderId="0" xfId="0" applyFont="1" applyFill="1" applyAlignment="1">
      <alignment vertical="center"/>
    </xf>
    <xf numFmtId="0" fontId="156" fillId="0" borderId="0" xfId="0" applyFont="1" applyAlignment="1">
      <alignment vertical="center"/>
    </xf>
    <xf numFmtId="0" fontId="155" fillId="0" borderId="0" xfId="0" applyFont="1" applyAlignment="1">
      <alignment vertical="center"/>
    </xf>
    <xf numFmtId="0" fontId="157" fillId="0" borderId="0" xfId="0" applyFont="1" applyAlignment="1">
      <alignment vertical="center"/>
    </xf>
    <xf numFmtId="3" fontId="155" fillId="0" borderId="0" xfId="0" applyNumberFormat="1" applyFont="1" applyAlignment="1">
      <alignment vertical="center" wrapText="1"/>
    </xf>
    <xf numFmtId="3" fontId="157" fillId="0" borderId="0" xfId="0" applyNumberFormat="1" applyFont="1" applyAlignment="1">
      <alignment vertical="center" wrapText="1"/>
    </xf>
    <xf numFmtId="0" fontId="155" fillId="0" borderId="0" xfId="62" applyFont="1" applyAlignment="1">
      <alignment vertical="center"/>
      <protection/>
    </xf>
    <xf numFmtId="0" fontId="157" fillId="0" borderId="0" xfId="62" applyFont="1" applyAlignment="1">
      <alignment vertical="center"/>
      <protection/>
    </xf>
    <xf numFmtId="0" fontId="157" fillId="0" borderId="0" xfId="0" applyFont="1" applyAlignment="1">
      <alignment vertical="center" wrapText="1"/>
    </xf>
    <xf numFmtId="0" fontId="155" fillId="0" borderId="0" xfId="0" applyFont="1" applyAlignment="1">
      <alignment vertical="center" wrapText="1"/>
    </xf>
    <xf numFmtId="0" fontId="158" fillId="0" borderId="0" xfId="0" applyFont="1" applyAlignment="1">
      <alignment horizontal="right" vertical="center"/>
    </xf>
    <xf numFmtId="14" fontId="158" fillId="0" borderId="0" xfId="0" applyNumberFormat="1" applyFont="1" applyAlignment="1">
      <alignment vertical="center"/>
    </xf>
    <xf numFmtId="3" fontId="152" fillId="0" borderId="0" xfId="49" applyNumberFormat="1" applyFont="1" applyAlignment="1">
      <alignment horizontal="left" vertical="center"/>
    </xf>
    <xf numFmtId="0" fontId="147" fillId="33" borderId="0" xfId="74" applyFont="1" applyFill="1" applyAlignment="1">
      <alignment vertical="center"/>
      <protection/>
    </xf>
    <xf numFmtId="3" fontId="147" fillId="33" borderId="0" xfId="50" applyNumberFormat="1" applyFont="1" applyFill="1" applyBorder="1" applyAlignment="1">
      <alignment horizontal="right" vertical="center"/>
    </xf>
    <xf numFmtId="38" fontId="147" fillId="33" borderId="0" xfId="50" applyFont="1" applyFill="1" applyBorder="1" applyAlignment="1">
      <alignment horizontal="right" vertical="center"/>
    </xf>
    <xf numFmtId="0" fontId="79" fillId="0" borderId="0" xfId="76" applyFont="1" applyAlignment="1">
      <alignment vertical="center"/>
      <protection/>
    </xf>
    <xf numFmtId="0" fontId="31" fillId="0" borderId="0" xfId="75" applyFont="1" applyAlignment="1">
      <alignment vertical="center"/>
      <protection/>
    </xf>
    <xf numFmtId="0" fontId="37" fillId="0" borderId="0" xfId="75" applyFont="1" applyAlignment="1">
      <alignment vertical="center"/>
      <protection/>
    </xf>
    <xf numFmtId="0" fontId="32" fillId="0" borderId="0" xfId="75" applyFont="1" applyAlignment="1">
      <alignment horizontal="center" vertical="center"/>
      <protection/>
    </xf>
    <xf numFmtId="0" fontId="31" fillId="0" borderId="0" xfId="75" applyFont="1" applyAlignment="1">
      <alignment horizontal="center" vertical="center"/>
      <protection/>
    </xf>
    <xf numFmtId="0" fontId="0" fillId="0" borderId="0" xfId="75" applyFont="1" applyAlignment="1">
      <alignment vertical="center"/>
      <protection/>
    </xf>
    <xf numFmtId="0" fontId="38" fillId="0" borderId="0" xfId="75" applyFont="1" applyAlignment="1">
      <alignment horizontal="center" vertical="center" wrapText="1"/>
      <protection/>
    </xf>
    <xf numFmtId="0" fontId="7" fillId="33" borderId="0" xfId="75" applyFont="1" applyFill="1" applyAlignment="1">
      <alignment vertical="center" wrapText="1"/>
      <protection/>
    </xf>
    <xf numFmtId="0" fontId="38" fillId="33" borderId="0" xfId="75" applyFont="1" applyFill="1" applyAlignment="1">
      <alignment horizontal="center" vertical="center" wrapText="1"/>
      <protection/>
    </xf>
    <xf numFmtId="3" fontId="31" fillId="0" borderId="0" xfId="75" applyNumberFormat="1" applyFont="1" applyAlignment="1">
      <alignment vertical="center"/>
      <protection/>
    </xf>
    <xf numFmtId="3" fontId="0" fillId="0" borderId="0" xfId="75" applyNumberFormat="1" applyFont="1" applyAlignment="1">
      <alignment vertical="center"/>
      <protection/>
    </xf>
    <xf numFmtId="3" fontId="0" fillId="0" borderId="0" xfId="69" applyNumberFormat="1" applyFont="1" applyAlignment="1">
      <alignment horizontal="right" vertical="center" wrapText="1"/>
      <protection/>
    </xf>
    <xf numFmtId="3" fontId="31" fillId="0" borderId="0" xfId="69" applyNumberFormat="1" applyAlignment="1">
      <alignment horizontal="right" vertical="center" wrapText="1"/>
      <protection/>
    </xf>
    <xf numFmtId="0" fontId="31" fillId="0" borderId="0" xfId="75" applyFont="1" applyAlignment="1">
      <alignment vertical="center" wrapText="1"/>
      <protection/>
    </xf>
    <xf numFmtId="0" fontId="0" fillId="0" borderId="0" xfId="75" applyFont="1" applyAlignment="1">
      <alignment vertical="center" wrapText="1"/>
      <protection/>
    </xf>
    <xf numFmtId="1" fontId="0" fillId="0" borderId="0" xfId="75" applyNumberFormat="1" applyFont="1" applyAlignment="1">
      <alignment vertical="center" wrapText="1"/>
      <protection/>
    </xf>
    <xf numFmtId="0" fontId="0" fillId="0" borderId="0" xfId="69" applyFont="1" applyAlignment="1">
      <alignment horizontal="right" vertical="center" wrapText="1"/>
      <protection/>
    </xf>
    <xf numFmtId="0" fontId="31" fillId="0" borderId="0" xfId="69" applyAlignment="1">
      <alignment horizontal="right" vertical="center" wrapText="1"/>
      <protection/>
    </xf>
    <xf numFmtId="0" fontId="0" fillId="0" borderId="0" xfId="75" applyFont="1" applyAlignment="1" quotePrefix="1">
      <alignment horizontal="right" vertical="center"/>
      <protection/>
    </xf>
    <xf numFmtId="0" fontId="0" fillId="0" borderId="0" xfId="75" applyFont="1" applyAlignment="1">
      <alignment horizontal="center" vertical="center"/>
      <protection/>
    </xf>
    <xf numFmtId="0" fontId="34" fillId="0" borderId="0" xfId="75" applyFont="1" applyAlignment="1">
      <alignment vertical="center"/>
      <protection/>
    </xf>
    <xf numFmtId="0" fontId="35" fillId="0" borderId="0" xfId="75" applyFont="1" applyAlignment="1">
      <alignment vertical="center"/>
      <protection/>
    </xf>
    <xf numFmtId="0" fontId="7" fillId="0" borderId="0" xfId="75" applyFont="1" applyAlignment="1">
      <alignment vertical="center"/>
      <protection/>
    </xf>
    <xf numFmtId="0" fontId="7" fillId="0" borderId="0" xfId="75" applyFont="1" applyAlignment="1">
      <alignment horizontal="left" vertical="center"/>
      <protection/>
    </xf>
    <xf numFmtId="0" fontId="17" fillId="0" borderId="0" xfId="75" applyFont="1" applyAlignment="1">
      <alignment vertical="center"/>
      <protection/>
    </xf>
    <xf numFmtId="0" fontId="7" fillId="0" borderId="0" xfId="75" applyFont="1" applyAlignment="1" quotePrefix="1">
      <alignment horizontal="left" vertical="center"/>
      <protection/>
    </xf>
    <xf numFmtId="0" fontId="4" fillId="0" borderId="23" xfId="54" applyFont="1" applyBorder="1" applyAlignment="1">
      <alignment horizontal="left" vertical="center"/>
      <protection/>
    </xf>
    <xf numFmtId="0" fontId="4" fillId="33" borderId="12" xfId="54" applyFont="1" applyFill="1" applyBorder="1" applyAlignment="1">
      <alignment horizontal="center" vertical="center"/>
      <protection/>
    </xf>
    <xf numFmtId="0" fontId="4" fillId="2" borderId="23" xfId="54" applyFont="1" applyFill="1" applyBorder="1" applyAlignment="1">
      <alignment horizontal="left" vertical="center"/>
      <protection/>
    </xf>
    <xf numFmtId="0" fontId="4" fillId="2" borderId="12" xfId="54" applyFont="1" applyFill="1" applyBorder="1" applyAlignment="1">
      <alignment horizontal="center" vertical="center"/>
      <protection/>
    </xf>
    <xf numFmtId="0" fontId="4" fillId="33" borderId="12" xfId="54" applyFont="1" applyFill="1" applyBorder="1" applyAlignment="1">
      <alignment horizontal="left" vertical="center" wrapText="1" indent="1"/>
      <protection/>
    </xf>
    <xf numFmtId="3" fontId="4" fillId="33" borderId="12" xfId="54" applyNumberFormat="1" applyFont="1" applyFill="1" applyBorder="1" applyAlignment="1">
      <alignment vertical="center"/>
      <protection/>
    </xf>
    <xf numFmtId="0" fontId="0" fillId="0" borderId="12" xfId="54" applyBorder="1" applyAlignment="1">
      <alignment horizontal="left" vertical="center" wrapText="1" indent="2"/>
      <protection/>
    </xf>
    <xf numFmtId="3" fontId="0" fillId="0" borderId="12" xfId="54" applyNumberFormat="1" applyBorder="1" applyAlignment="1">
      <alignment vertical="center"/>
      <protection/>
    </xf>
    <xf numFmtId="3" fontId="0" fillId="40" borderId="12" xfId="54" applyNumberFormat="1" applyFill="1" applyBorder="1" applyAlignment="1">
      <alignment vertical="center"/>
      <protection/>
    </xf>
    <xf numFmtId="3" fontId="0" fillId="0" borderId="12" xfId="54" applyNumberFormat="1" applyBorder="1" applyAlignment="1" applyProtection="1">
      <alignment vertical="center"/>
      <protection locked="0"/>
    </xf>
    <xf numFmtId="170" fontId="0" fillId="0" borderId="12" xfId="54" applyNumberFormat="1" applyBorder="1" applyAlignment="1">
      <alignment vertical="center"/>
      <protection/>
    </xf>
    <xf numFmtId="170" fontId="0" fillId="0" borderId="12" xfId="54" applyNumberFormat="1" applyBorder="1" applyAlignment="1" applyProtection="1">
      <alignment vertical="center"/>
      <protection locked="0"/>
    </xf>
    <xf numFmtId="9" fontId="0" fillId="0" borderId="19" xfId="78" applyFont="1" applyBorder="1" applyAlignment="1">
      <alignment horizontal="right" vertical="center"/>
    </xf>
    <xf numFmtId="9" fontId="0" fillId="0" borderId="12" xfId="54" applyNumberFormat="1" applyBorder="1" applyAlignment="1">
      <alignment vertical="center"/>
      <protection/>
    </xf>
    <xf numFmtId="9" fontId="0" fillId="0" borderId="12" xfId="54" applyNumberFormat="1" applyBorder="1" applyAlignment="1" applyProtection="1">
      <alignment horizontal="right" vertical="center"/>
      <protection locked="0"/>
    </xf>
    <xf numFmtId="3" fontId="4" fillId="33" borderId="12" xfId="54" applyNumberFormat="1" applyFont="1" applyFill="1" applyBorder="1" applyAlignment="1" applyProtection="1">
      <alignment vertical="center"/>
      <protection locked="0"/>
    </xf>
    <xf numFmtId="9" fontId="0" fillId="0" borderId="12" xfId="54" applyNumberFormat="1" applyBorder="1" applyAlignment="1" applyProtection="1">
      <alignment vertical="center"/>
      <protection locked="0"/>
    </xf>
    <xf numFmtId="4" fontId="0" fillId="0" borderId="0" xfId="54" applyNumberFormat="1" applyAlignment="1">
      <alignment vertical="center"/>
      <protection/>
    </xf>
    <xf numFmtId="3" fontId="4" fillId="33" borderId="20" xfId="54" applyNumberFormat="1" applyFont="1" applyFill="1" applyBorder="1" applyAlignment="1">
      <alignment vertical="center"/>
      <protection/>
    </xf>
    <xf numFmtId="3" fontId="4" fillId="33" borderId="21" xfId="54" applyNumberFormat="1" applyFont="1" applyFill="1" applyBorder="1" applyAlignment="1">
      <alignment vertical="center"/>
      <protection/>
    </xf>
    <xf numFmtId="3" fontId="0" fillId="0" borderId="12" xfId="54" applyNumberFormat="1" applyBorder="1" applyAlignment="1" applyProtection="1" quotePrefix="1">
      <alignment horizontal="right" vertical="center"/>
      <protection locked="0"/>
    </xf>
    <xf numFmtId="170" fontId="0" fillId="0" borderId="12" xfId="54" applyNumberFormat="1" applyBorder="1" applyAlignment="1" quotePrefix="1">
      <alignment horizontal="right" vertical="center"/>
      <protection/>
    </xf>
    <xf numFmtId="170" fontId="0" fillId="2" borderId="12" xfId="54" applyNumberFormat="1" applyFill="1" applyBorder="1" applyAlignment="1" quotePrefix="1">
      <alignment horizontal="right" vertical="center"/>
      <protection/>
    </xf>
    <xf numFmtId="170" fontId="0" fillId="2" borderId="12" xfId="54" applyNumberFormat="1" applyFill="1" applyBorder="1" applyAlignment="1" applyProtection="1">
      <alignment vertical="center"/>
      <protection locked="0"/>
    </xf>
    <xf numFmtId="0" fontId="7" fillId="0" borderId="0" xfId="54" applyFont="1" applyAlignment="1">
      <alignment horizontal="left" vertical="center"/>
      <protection/>
    </xf>
    <xf numFmtId="0" fontId="44" fillId="0" borderId="0" xfId="54" applyFont="1" applyAlignment="1">
      <alignment vertical="center" wrapText="1"/>
      <protection/>
    </xf>
    <xf numFmtId="0" fontId="3" fillId="0" borderId="0" xfId="54" applyFont="1" applyAlignment="1">
      <alignment vertical="center" wrapText="1"/>
      <protection/>
    </xf>
    <xf numFmtId="0" fontId="41" fillId="0" borderId="0" xfId="54" applyFont="1" applyAlignment="1">
      <alignment vertical="center"/>
      <protection/>
    </xf>
    <xf numFmtId="0" fontId="7" fillId="0" borderId="0" xfId="54" applyFont="1" applyAlignment="1">
      <alignment horizontal="left" vertical="center" wrapText="1"/>
      <protection/>
    </xf>
    <xf numFmtId="0" fontId="8" fillId="0" borderId="0" xfId="54" applyFont="1" applyAlignment="1">
      <alignment vertical="center"/>
      <protection/>
    </xf>
    <xf numFmtId="0" fontId="4" fillId="0" borderId="23" xfId="64" applyFont="1" applyBorder="1" applyAlignment="1">
      <alignment horizontal="center" vertical="center"/>
      <protection/>
    </xf>
    <xf numFmtId="3" fontId="0" fillId="0" borderId="19" xfId="64" applyNumberFormat="1" applyBorder="1" applyAlignment="1">
      <alignment horizontal="right" vertical="center"/>
      <protection/>
    </xf>
    <xf numFmtId="3" fontId="31" fillId="40" borderId="20" xfId="54" applyNumberFormat="1" applyFont="1" applyFill="1" applyBorder="1" applyAlignment="1">
      <alignment vertical="center"/>
      <protection/>
    </xf>
    <xf numFmtId="3" fontId="0" fillId="0" borderId="19" xfId="54" applyNumberFormat="1" applyBorder="1" applyAlignment="1" applyProtection="1">
      <alignment vertical="center"/>
      <protection locked="0"/>
    </xf>
    <xf numFmtId="3" fontId="0" fillId="0" borderId="20" xfId="54" applyNumberFormat="1" applyBorder="1" applyAlignment="1" applyProtection="1">
      <alignment vertical="center"/>
      <protection locked="0"/>
    </xf>
    <xf numFmtId="3" fontId="0" fillId="0" borderId="15" xfId="54" applyNumberFormat="1" applyBorder="1" applyAlignment="1" applyProtection="1">
      <alignment vertical="center"/>
      <protection locked="0"/>
    </xf>
    <xf numFmtId="4" fontId="0" fillId="0" borderId="21" xfId="54" applyNumberFormat="1" applyBorder="1" applyAlignment="1">
      <alignment vertical="center"/>
      <protection/>
    </xf>
    <xf numFmtId="4" fontId="31" fillId="40" borderId="22" xfId="54" applyNumberFormat="1" applyFont="1" applyFill="1" applyBorder="1" applyAlignment="1">
      <alignment vertical="center"/>
      <protection/>
    </xf>
    <xf numFmtId="4" fontId="0" fillId="0" borderId="19" xfId="54" applyNumberFormat="1" applyBorder="1" applyAlignment="1" applyProtection="1">
      <alignment vertical="center"/>
      <protection locked="0"/>
    </xf>
    <xf numFmtId="4" fontId="0" fillId="0" borderId="20" xfId="54" applyNumberFormat="1" applyBorder="1" applyAlignment="1" applyProtection="1">
      <alignment horizontal="right" vertical="center"/>
      <protection locked="0"/>
    </xf>
    <xf numFmtId="4" fontId="0" fillId="0" borderId="12" xfId="54" applyNumberFormat="1" applyBorder="1" applyAlignment="1" applyProtection="1">
      <alignment horizontal="right" vertical="center"/>
      <protection locked="0"/>
    </xf>
    <xf numFmtId="170" fontId="0" fillId="33" borderId="12" xfId="54" applyNumberFormat="1" applyFill="1" applyBorder="1" applyAlignment="1">
      <alignment vertical="center"/>
      <protection/>
    </xf>
    <xf numFmtId="170" fontId="31" fillId="33" borderId="20" xfId="54" applyNumberFormat="1" applyFont="1" applyFill="1" applyBorder="1" applyAlignment="1">
      <alignment vertical="center"/>
      <protection/>
    </xf>
    <xf numFmtId="170" fontId="0" fillId="33" borderId="20" xfId="54" applyNumberFormat="1" applyFill="1" applyBorder="1" applyAlignment="1" applyProtection="1">
      <alignment vertical="center"/>
      <protection locked="0"/>
    </xf>
    <xf numFmtId="170" fontId="0" fillId="33" borderId="12" xfId="54" applyNumberFormat="1" applyFill="1" applyBorder="1" applyAlignment="1" applyProtection="1">
      <alignment vertical="center"/>
      <protection locked="0"/>
    </xf>
    <xf numFmtId="1" fontId="0" fillId="0" borderId="20" xfId="54" applyNumberFormat="1" applyBorder="1" applyAlignment="1" applyProtection="1">
      <alignment horizontal="right" vertical="center"/>
      <protection locked="0"/>
    </xf>
    <xf numFmtId="1" fontId="0" fillId="0" borderId="12" xfId="54" applyNumberFormat="1" applyBorder="1" applyAlignment="1" applyProtection="1">
      <alignment horizontal="right" vertical="center"/>
      <protection locked="0"/>
    </xf>
    <xf numFmtId="170" fontId="0" fillId="0" borderId="12" xfId="64" applyNumberFormat="1" applyBorder="1" applyAlignment="1" quotePrefix="1">
      <alignment horizontal="right" vertical="center"/>
      <protection/>
    </xf>
    <xf numFmtId="4" fontId="0" fillId="0" borderId="12" xfId="54" applyNumberFormat="1" applyBorder="1" applyAlignment="1">
      <alignment vertical="center"/>
      <protection/>
    </xf>
    <xf numFmtId="4" fontId="31" fillId="40" borderId="20" xfId="54" applyNumberFormat="1" applyFont="1" applyFill="1" applyBorder="1" applyAlignment="1">
      <alignment vertical="center"/>
      <protection/>
    </xf>
    <xf numFmtId="3" fontId="31" fillId="33" borderId="22" xfId="54" applyNumberFormat="1" applyFont="1" applyFill="1" applyBorder="1" applyAlignment="1">
      <alignment vertical="center"/>
      <protection/>
    </xf>
    <xf numFmtId="3" fontId="4" fillId="33" borderId="22" xfId="54" applyNumberFormat="1" applyFont="1" applyFill="1" applyBorder="1" applyAlignment="1" applyProtection="1">
      <alignment vertical="center"/>
      <protection locked="0"/>
    </xf>
    <xf numFmtId="3" fontId="0" fillId="0" borderId="21" xfId="54" applyNumberFormat="1" applyBorder="1" applyAlignment="1">
      <alignment vertical="center"/>
      <protection/>
    </xf>
    <xf numFmtId="3" fontId="31" fillId="40" borderId="22" xfId="54" applyNumberFormat="1" applyFont="1" applyFill="1" applyBorder="1" applyAlignment="1">
      <alignment vertical="center"/>
      <protection/>
    </xf>
    <xf numFmtId="4" fontId="31" fillId="40" borderId="20" xfId="54" applyNumberFormat="1" applyFont="1" applyFill="1" applyBorder="1" applyAlignment="1">
      <alignment horizontal="right" vertical="center"/>
      <protection/>
    </xf>
    <xf numFmtId="4" fontId="0" fillId="0" borderId="15" xfId="54" applyNumberFormat="1" applyBorder="1" applyAlignment="1" applyProtection="1">
      <alignment vertical="center"/>
      <protection locked="0"/>
    </xf>
    <xf numFmtId="4" fontId="0" fillId="0" borderId="12" xfId="54" applyNumberFormat="1" applyBorder="1" applyAlignment="1" applyProtection="1">
      <alignment vertical="center"/>
      <protection locked="0"/>
    </xf>
    <xf numFmtId="3" fontId="0" fillId="0" borderId="21" xfId="64" applyNumberFormat="1" applyBorder="1" applyAlignment="1" quotePrefix="1">
      <alignment horizontal="right" vertical="center"/>
      <protection/>
    </xf>
    <xf numFmtId="3" fontId="0" fillId="0" borderId="22" xfId="64" applyNumberFormat="1" applyBorder="1" applyAlignment="1" quotePrefix="1">
      <alignment horizontal="right" vertical="center"/>
      <protection/>
    </xf>
    <xf numFmtId="3" fontId="0" fillId="0" borderId="12" xfId="64" applyNumberFormat="1" applyBorder="1" applyAlignment="1" quotePrefix="1">
      <alignment horizontal="right" vertical="center"/>
      <protection/>
    </xf>
    <xf numFmtId="3" fontId="0" fillId="0" borderId="12" xfId="64" applyNumberFormat="1" applyFont="1" applyBorder="1" applyAlignment="1" quotePrefix="1">
      <alignment horizontal="right" vertical="center"/>
      <protection/>
    </xf>
    <xf numFmtId="170" fontId="31" fillId="40" borderId="20" xfId="54" applyNumberFormat="1" applyFont="1" applyFill="1" applyBorder="1" applyAlignment="1">
      <alignment horizontal="right" vertical="center"/>
      <protection/>
    </xf>
    <xf numFmtId="0" fontId="4" fillId="0" borderId="23" xfId="65" applyFont="1" applyBorder="1" applyAlignment="1">
      <alignment horizontal="center" vertical="center"/>
      <protection/>
    </xf>
    <xf numFmtId="0" fontId="0" fillId="0" borderId="12" xfId="65" applyBorder="1" applyAlignment="1">
      <alignment horizontal="left" vertical="center" wrapText="1" indent="1"/>
      <protection/>
    </xf>
    <xf numFmtId="3" fontId="0" fillId="0" borderId="19" xfId="65" applyNumberFormat="1" applyBorder="1" applyAlignment="1">
      <alignment horizontal="right" vertical="center"/>
      <protection/>
    </xf>
    <xf numFmtId="0" fontId="0" fillId="0" borderId="12" xfId="65" applyBorder="1" applyAlignment="1">
      <alignment horizontal="left" vertical="center" wrapText="1" indent="3"/>
      <protection/>
    </xf>
    <xf numFmtId="0" fontId="0" fillId="0" borderId="12" xfId="54" applyBorder="1" applyAlignment="1" applyProtection="1">
      <alignment vertical="center"/>
      <protection locked="0"/>
    </xf>
    <xf numFmtId="0" fontId="131" fillId="0" borderId="12" xfId="54" applyFont="1" applyBorder="1" applyAlignment="1" applyProtection="1">
      <alignment vertical="center"/>
      <protection locked="0"/>
    </xf>
    <xf numFmtId="0" fontId="0" fillId="0" borderId="12" xfId="65" applyBorder="1" applyAlignment="1">
      <alignment horizontal="left" vertical="center" wrapText="1" indent="2"/>
      <protection/>
    </xf>
    <xf numFmtId="3" fontId="131" fillId="0" borderId="12" xfId="54" applyNumberFormat="1" applyFont="1" applyBorder="1" applyAlignment="1" applyProtection="1">
      <alignment vertical="center"/>
      <protection locked="0"/>
    </xf>
    <xf numFmtId="170" fontId="0" fillId="0" borderId="21" xfId="54" applyNumberFormat="1" applyBorder="1" applyAlignment="1">
      <alignment vertical="center"/>
      <protection/>
    </xf>
    <xf numFmtId="170" fontId="0" fillId="0" borderId="12" xfId="54" applyNumberFormat="1" applyBorder="1" applyAlignment="1" applyProtection="1">
      <alignment horizontal="right" vertical="center"/>
      <protection locked="0"/>
    </xf>
    <xf numFmtId="0" fontId="0" fillId="0" borderId="12" xfId="54" applyBorder="1" applyAlignment="1" applyProtection="1">
      <alignment horizontal="right" vertical="center"/>
      <protection locked="0"/>
    </xf>
    <xf numFmtId="170" fontId="131" fillId="0" borderId="12" xfId="54" applyNumberFormat="1" applyFont="1" applyBorder="1" applyAlignment="1" applyProtection="1">
      <alignment horizontal="right" vertical="center"/>
      <protection locked="0"/>
    </xf>
    <xf numFmtId="170" fontId="0" fillId="33" borderId="12" xfId="65" applyNumberFormat="1" applyFill="1" applyBorder="1" applyAlignment="1">
      <alignment vertical="center"/>
      <protection/>
    </xf>
    <xf numFmtId="170" fontId="131" fillId="33" borderId="12" xfId="54" applyNumberFormat="1" applyFont="1" applyFill="1" applyBorder="1" applyAlignment="1" applyProtection="1">
      <alignment vertical="center"/>
      <protection locked="0"/>
    </xf>
    <xf numFmtId="3" fontId="131" fillId="41" borderId="19" xfId="54" applyNumberFormat="1" applyFont="1" applyFill="1" applyBorder="1" applyAlignment="1">
      <alignment horizontal="right" vertical="center"/>
      <protection/>
    </xf>
    <xf numFmtId="3" fontId="0" fillId="41" borderId="19" xfId="54" applyNumberFormat="1" applyFill="1" applyBorder="1" applyAlignment="1">
      <alignment horizontal="right" vertical="center"/>
      <protection/>
    </xf>
    <xf numFmtId="170" fontId="0" fillId="0" borderId="12" xfId="65" applyNumberFormat="1" applyBorder="1" applyAlignment="1" quotePrefix="1">
      <alignment horizontal="right" vertical="center"/>
      <protection/>
    </xf>
    <xf numFmtId="3" fontId="0" fillId="0" borderId="12" xfId="65" applyNumberFormat="1" applyBorder="1" applyAlignment="1">
      <alignment horizontal="right" vertical="center"/>
      <protection/>
    </xf>
    <xf numFmtId="0" fontId="0" fillId="0" borderId="12" xfId="65" applyBorder="1" applyAlignment="1">
      <alignment vertical="center"/>
      <protection/>
    </xf>
    <xf numFmtId="170" fontId="0" fillId="0" borderId="12" xfId="65" applyNumberFormat="1" applyBorder="1" applyAlignment="1">
      <alignment vertical="center"/>
      <protection/>
    </xf>
    <xf numFmtId="170" fontId="131" fillId="41" borderId="24" xfId="54" applyNumberFormat="1" applyFont="1" applyFill="1" applyBorder="1" applyAlignment="1">
      <alignment horizontal="right" vertical="center"/>
      <protection/>
    </xf>
    <xf numFmtId="170" fontId="0" fillId="41" borderId="24" xfId="54" applyNumberFormat="1" applyFill="1" applyBorder="1" applyAlignment="1">
      <alignment horizontal="right" vertical="center"/>
      <protection/>
    </xf>
    <xf numFmtId="3" fontId="0" fillId="0" borderId="12" xfId="54" applyNumberFormat="1" applyBorder="1" applyAlignment="1">
      <alignment horizontal="right" vertical="center"/>
      <protection/>
    </xf>
    <xf numFmtId="3" fontId="0" fillId="40" borderId="12" xfId="54" applyNumberFormat="1" applyFill="1" applyBorder="1" applyAlignment="1">
      <alignment horizontal="right" vertical="center"/>
      <protection/>
    </xf>
    <xf numFmtId="3" fontId="0" fillId="0" borderId="12" xfId="54" applyNumberFormat="1" applyBorder="1" applyAlignment="1" applyProtection="1">
      <alignment horizontal="right" vertical="center"/>
      <protection locked="0"/>
    </xf>
    <xf numFmtId="3" fontId="131" fillId="0" borderId="12" xfId="54" applyNumberFormat="1" applyFont="1" applyBorder="1" applyAlignment="1" applyProtection="1">
      <alignment horizontal="right" vertical="center"/>
      <protection locked="0"/>
    </xf>
    <xf numFmtId="170" fontId="0" fillId="0" borderId="12" xfId="65" applyNumberFormat="1" applyBorder="1" applyAlignment="1">
      <alignment horizontal="right" vertical="center"/>
      <protection/>
    </xf>
    <xf numFmtId="170" fontId="0" fillId="0" borderId="12" xfId="54" applyNumberFormat="1" applyBorder="1" applyAlignment="1">
      <alignment horizontal="right" vertical="center"/>
      <protection/>
    </xf>
    <xf numFmtId="170" fontId="0" fillId="40" borderId="12" xfId="54" applyNumberFormat="1" applyFill="1" applyBorder="1" applyAlignment="1">
      <alignment horizontal="right" vertical="center"/>
      <protection/>
    </xf>
    <xf numFmtId="170" fontId="20" fillId="33" borderId="12" xfId="54" applyNumberFormat="1" applyFont="1" applyFill="1" applyBorder="1" applyAlignment="1" applyProtection="1">
      <alignment vertical="center"/>
      <protection locked="0"/>
    </xf>
    <xf numFmtId="170" fontId="159" fillId="33" borderId="12" xfId="54" applyNumberFormat="1" applyFont="1" applyFill="1" applyBorder="1" applyAlignment="1" applyProtection="1">
      <alignment vertical="center"/>
      <protection locked="0"/>
    </xf>
    <xf numFmtId="3" fontId="131" fillId="0" borderId="12" xfId="54" applyNumberFormat="1" applyFont="1" applyBorder="1" applyAlignment="1" applyProtection="1" quotePrefix="1">
      <alignment horizontal="right" vertical="center"/>
      <protection locked="0"/>
    </xf>
    <xf numFmtId="3" fontId="41" fillId="33" borderId="12" xfId="54" applyNumberFormat="1" applyFont="1" applyFill="1" applyBorder="1" applyAlignment="1" applyProtection="1">
      <alignment vertical="center"/>
      <protection locked="0"/>
    </xf>
    <xf numFmtId="3" fontId="160" fillId="33" borderId="12" xfId="54" applyNumberFormat="1" applyFont="1" applyFill="1" applyBorder="1" applyAlignment="1" applyProtection="1">
      <alignment vertical="center"/>
      <protection locked="0"/>
    </xf>
    <xf numFmtId="3" fontId="0" fillId="40" borderId="21" xfId="54" applyNumberFormat="1" applyFill="1" applyBorder="1" applyAlignment="1">
      <alignment vertical="center"/>
      <protection/>
    </xf>
    <xf numFmtId="4" fontId="131" fillId="0" borderId="12" xfId="54" applyNumberFormat="1" applyFont="1" applyBorder="1" applyAlignment="1" applyProtection="1">
      <alignment horizontal="right" vertical="center"/>
      <protection locked="0"/>
    </xf>
    <xf numFmtId="0" fontId="132" fillId="0" borderId="0" xfId="54" applyFont="1" applyAlignment="1">
      <alignment vertical="center"/>
      <protection/>
    </xf>
    <xf numFmtId="0" fontId="7" fillId="0" borderId="0" xfId="54" applyFont="1">
      <alignment/>
      <protection/>
    </xf>
    <xf numFmtId="0" fontId="132" fillId="0" borderId="0" xfId="54" applyFont="1">
      <alignment/>
      <protection/>
    </xf>
    <xf numFmtId="0" fontId="0" fillId="0" borderId="0" xfId="66" applyAlignment="1">
      <alignment vertical="center"/>
      <protection/>
    </xf>
    <xf numFmtId="0" fontId="4" fillId="0" borderId="23" xfId="66" applyFont="1" applyBorder="1" applyAlignment="1">
      <alignment horizontal="center" vertical="center"/>
      <protection/>
    </xf>
    <xf numFmtId="3" fontId="0" fillId="0" borderId="19" xfId="66" applyNumberFormat="1" applyBorder="1" applyAlignment="1">
      <alignment horizontal="right" vertical="center"/>
      <protection/>
    </xf>
    <xf numFmtId="3" fontId="0" fillId="0" borderId="0" xfId="66" applyNumberFormat="1" applyFont="1" applyAlignment="1" quotePrefix="1">
      <alignment horizontal="right" vertical="center"/>
      <protection/>
    </xf>
    <xf numFmtId="3" fontId="0" fillId="0" borderId="19" xfId="66" applyNumberFormat="1" applyBorder="1" applyAlignment="1" quotePrefix="1">
      <alignment horizontal="right" vertical="center"/>
      <protection/>
    </xf>
    <xf numFmtId="170" fontId="0" fillId="0" borderId="12" xfId="66" applyNumberFormat="1" applyBorder="1" applyAlignment="1">
      <alignment vertical="center"/>
      <protection/>
    </xf>
    <xf numFmtId="171" fontId="0" fillId="0" borderId="12" xfId="54" applyNumberFormat="1" applyBorder="1" applyAlignment="1" applyProtection="1">
      <alignment vertical="center"/>
      <protection locked="0"/>
    </xf>
    <xf numFmtId="170" fontId="0" fillId="33" borderId="12" xfId="66" applyNumberFormat="1" applyFill="1" applyBorder="1" applyAlignment="1">
      <alignment vertical="center"/>
      <protection/>
    </xf>
    <xf numFmtId="170" fontId="20" fillId="33" borderId="12" xfId="54" applyNumberFormat="1" applyFont="1" applyFill="1" applyBorder="1" applyAlignment="1" applyProtection="1">
      <alignment horizontal="center" vertical="center"/>
      <protection locked="0"/>
    </xf>
    <xf numFmtId="3" fontId="0" fillId="0" borderId="12" xfId="66" applyNumberFormat="1" applyBorder="1" applyAlignment="1">
      <alignment horizontal="right" vertical="center"/>
      <protection/>
    </xf>
    <xf numFmtId="3" fontId="0" fillId="0" borderId="12" xfId="66" applyNumberFormat="1" applyFont="1" applyBorder="1" applyAlignment="1">
      <alignment horizontal="right" vertical="center"/>
      <protection/>
    </xf>
    <xf numFmtId="170" fontId="0" fillId="0" borderId="12" xfId="66" applyNumberFormat="1" applyBorder="1" applyAlignment="1" quotePrefix="1">
      <alignment horizontal="right" vertical="center"/>
      <protection/>
    </xf>
    <xf numFmtId="170" fontId="0" fillId="0" borderId="12" xfId="66" applyNumberFormat="1" applyBorder="1" applyAlignment="1">
      <alignment horizontal="right" vertical="center"/>
      <protection/>
    </xf>
    <xf numFmtId="171" fontId="0" fillId="40" borderId="12" xfId="54" applyNumberFormat="1" applyFill="1" applyBorder="1" applyAlignment="1">
      <alignment horizontal="right" vertical="center"/>
      <protection/>
    </xf>
    <xf numFmtId="170" fontId="0" fillId="33" borderId="12" xfId="54" applyNumberFormat="1" applyFill="1" applyBorder="1" applyAlignment="1">
      <alignment horizontal="right" vertical="center"/>
      <protection/>
    </xf>
    <xf numFmtId="170" fontId="0" fillId="40" borderId="12" xfId="54" applyNumberFormat="1" applyFill="1" applyBorder="1" applyAlignment="1">
      <alignment vertical="center"/>
      <protection/>
    </xf>
    <xf numFmtId="170" fontId="20" fillId="33" borderId="25" xfId="54" applyNumberFormat="1" applyFont="1" applyFill="1" applyBorder="1" applyAlignment="1" applyProtection="1">
      <alignment horizontal="center" vertical="center"/>
      <protection locked="0"/>
    </xf>
    <xf numFmtId="0" fontId="21" fillId="0" borderId="0" xfId="54" applyFont="1" applyAlignment="1">
      <alignment vertical="center"/>
      <protection/>
    </xf>
    <xf numFmtId="0" fontId="7" fillId="0" borderId="0" xfId="54" applyFont="1" applyAlignment="1" applyProtection="1">
      <alignment vertical="center"/>
      <protection locked="0"/>
    </xf>
    <xf numFmtId="0" fontId="131" fillId="0" borderId="0" xfId="54" applyFont="1" applyAlignment="1">
      <alignment horizontal="center" vertical="center"/>
      <protection/>
    </xf>
    <xf numFmtId="0" fontId="130" fillId="33" borderId="19" xfId="54" applyFont="1" applyFill="1" applyBorder="1" applyAlignment="1">
      <alignment horizontal="center" vertical="center"/>
      <protection/>
    </xf>
    <xf numFmtId="0" fontId="4" fillId="33" borderId="19" xfId="54" applyFont="1" applyFill="1" applyBorder="1" applyAlignment="1">
      <alignment horizontal="left" vertical="center" wrapText="1"/>
      <protection/>
    </xf>
    <xf numFmtId="0" fontId="4" fillId="33" borderId="19" xfId="54" applyFont="1" applyFill="1" applyBorder="1" applyAlignment="1">
      <alignment horizontal="left" vertical="center" indent="1"/>
      <protection/>
    </xf>
    <xf numFmtId="0" fontId="0" fillId="0" borderId="19" xfId="54" applyBorder="1" applyAlignment="1">
      <alignment horizontal="left" vertical="center" wrapText="1" indent="2"/>
      <protection/>
    </xf>
    <xf numFmtId="3" fontId="0" fillId="0" borderId="19" xfId="54" applyNumberFormat="1" applyBorder="1" applyAlignment="1">
      <alignment horizontal="center" vertical="center"/>
      <protection/>
    </xf>
    <xf numFmtId="3" fontId="131" fillId="0" borderId="19" xfId="54" applyNumberFormat="1" applyFont="1" applyBorder="1" applyAlignment="1">
      <alignment horizontal="center" vertical="center"/>
      <protection/>
    </xf>
    <xf numFmtId="3" fontId="0" fillId="0" borderId="19" xfId="54" applyNumberFormat="1" applyBorder="1" applyAlignment="1" quotePrefix="1">
      <alignment horizontal="center" vertical="center"/>
      <protection/>
    </xf>
    <xf numFmtId="0" fontId="4" fillId="33" borderId="19" xfId="54" applyFont="1" applyFill="1" applyBorder="1" applyAlignment="1">
      <alignment horizontal="left" vertical="center" wrapText="1" indent="1"/>
      <protection/>
    </xf>
    <xf numFmtId="0" fontId="0" fillId="33" borderId="19" xfId="54" applyFill="1" applyBorder="1" applyAlignment="1">
      <alignment horizontal="center" vertical="center" wrapText="1"/>
      <protection/>
    </xf>
    <xf numFmtId="168" fontId="0" fillId="33" borderId="19" xfId="54" applyNumberFormat="1" applyFill="1" applyBorder="1" applyAlignment="1">
      <alignment horizontal="center" vertical="center"/>
      <protection/>
    </xf>
    <xf numFmtId="168" fontId="131" fillId="33" borderId="19" xfId="54" applyNumberFormat="1" applyFont="1" applyFill="1" applyBorder="1" applyAlignment="1">
      <alignment horizontal="center" vertical="center"/>
      <protection/>
    </xf>
    <xf numFmtId="0" fontId="131" fillId="33" borderId="19" xfId="54" applyFont="1" applyFill="1" applyBorder="1" applyAlignment="1">
      <alignment horizontal="center" vertical="center" wrapText="1"/>
      <protection/>
    </xf>
    <xf numFmtId="3" fontId="131" fillId="0" borderId="19" xfId="54" applyNumberFormat="1" applyFont="1" applyBorder="1" applyAlignment="1" quotePrefix="1">
      <alignment horizontal="center" vertical="center"/>
      <protection/>
    </xf>
    <xf numFmtId="0" fontId="132" fillId="0" borderId="0" xfId="54" applyFont="1" applyAlignment="1">
      <alignment horizontal="center" vertical="center"/>
      <protection/>
    </xf>
    <xf numFmtId="0" fontId="20" fillId="0" borderId="0" xfId="54" applyFont="1" applyAlignment="1">
      <alignment vertical="center"/>
      <protection/>
    </xf>
    <xf numFmtId="0" fontId="8" fillId="0" borderId="0" xfId="54" applyFont="1" applyAlignment="1">
      <alignment vertical="center" wrapText="1"/>
      <protection/>
    </xf>
    <xf numFmtId="0" fontId="161" fillId="0" borderId="0" xfId="54" applyFont="1" applyAlignment="1">
      <alignment vertical="center" wrapText="1"/>
      <protection/>
    </xf>
    <xf numFmtId="0" fontId="7" fillId="0" borderId="0" xfId="54" applyFont="1" applyAlignment="1">
      <alignment vertical="center" wrapText="1"/>
      <protection/>
    </xf>
    <xf numFmtId="167" fontId="4" fillId="33" borderId="19" xfId="54" applyNumberFormat="1" applyFont="1" applyFill="1" applyBorder="1" applyAlignment="1">
      <alignment vertical="center"/>
      <protection/>
    </xf>
    <xf numFmtId="0" fontId="162" fillId="0" borderId="0" xfId="0" applyFont="1" applyAlignment="1">
      <alignment/>
    </xf>
    <xf numFmtId="0" fontId="151" fillId="0" borderId="0" xfId="0" applyFont="1" applyAlignment="1">
      <alignment/>
    </xf>
    <xf numFmtId="3" fontId="163" fillId="0" borderId="0" xfId="0" applyNumberFormat="1" applyFont="1" applyAlignment="1">
      <alignment vertical="center"/>
    </xf>
    <xf numFmtId="3" fontId="162" fillId="0" borderId="0" xfId="54" applyNumberFormat="1" applyFont="1" applyAlignment="1">
      <alignment vertical="center"/>
      <protection/>
    </xf>
    <xf numFmtId="0" fontId="136" fillId="0" borderId="0" xfId="54" applyFont="1" applyAlignment="1">
      <alignment horizontal="left" vertical="center" indent="1"/>
      <protection/>
    </xf>
    <xf numFmtId="3" fontId="136" fillId="0" borderId="0" xfId="0" applyNumberFormat="1" applyFont="1" applyAlignment="1">
      <alignment vertical="center"/>
    </xf>
    <xf numFmtId="4" fontId="136" fillId="0" borderId="0" xfId="0" applyNumberFormat="1" applyFont="1" applyAlignment="1">
      <alignment vertical="center"/>
    </xf>
    <xf numFmtId="167" fontId="0" fillId="0" borderId="0" xfId="78" applyNumberFormat="1" applyFont="1" applyAlignment="1">
      <alignment vertical="center"/>
    </xf>
    <xf numFmtId="167" fontId="60" fillId="0" borderId="0" xfId="78" applyNumberFormat="1" applyFont="1" applyAlignment="1">
      <alignment/>
    </xf>
    <xf numFmtId="0" fontId="136" fillId="0" borderId="0" xfId="54" applyFont="1">
      <alignment/>
      <protection/>
    </xf>
    <xf numFmtId="0" fontId="163" fillId="0" borderId="0" xfId="54" applyFont="1" applyAlignment="1">
      <alignment vertical="center"/>
      <protection/>
    </xf>
    <xf numFmtId="0" fontId="151" fillId="0" borderId="0" xfId="54" applyFont="1" applyAlignment="1">
      <alignment vertical="center"/>
      <protection/>
    </xf>
    <xf numFmtId="0" fontId="164" fillId="0" borderId="0" xfId="54" applyFont="1" applyAlignment="1">
      <alignment vertical="center"/>
      <protection/>
    </xf>
    <xf numFmtId="0" fontId="7" fillId="0" borderId="0" xfId="54" applyFont="1" applyAlignment="1">
      <alignment horizontal="left" vertical="center" indent="1"/>
      <protection/>
    </xf>
    <xf numFmtId="0" fontId="0" fillId="0" borderId="0" xfId="54" applyAlignment="1">
      <alignment horizontal="left" vertical="center" indent="1"/>
      <protection/>
    </xf>
    <xf numFmtId="0" fontId="5" fillId="0" borderId="0" xfId="54" applyFont="1" applyAlignment="1">
      <alignment vertical="center"/>
      <protection/>
    </xf>
    <xf numFmtId="1" fontId="0" fillId="0" borderId="0" xfId="78" applyNumberFormat="1" applyFont="1" applyAlignment="1">
      <alignment vertical="center"/>
    </xf>
    <xf numFmtId="168" fontId="136" fillId="0" borderId="0" xfId="54" applyNumberFormat="1" applyFont="1" applyAlignment="1">
      <alignment vertical="center"/>
      <protection/>
    </xf>
    <xf numFmtId="167" fontId="136" fillId="0" borderId="0" xfId="78" applyNumberFormat="1" applyFont="1" applyBorder="1" applyAlignment="1">
      <alignment vertical="center"/>
    </xf>
    <xf numFmtId="3" fontId="0" fillId="0" borderId="19" xfId="54" applyNumberFormat="1" applyBorder="1" applyAlignment="1" applyProtection="1">
      <alignment horizontal="right" vertical="center"/>
      <protection locked="0"/>
    </xf>
    <xf numFmtId="3" fontId="145" fillId="0" borderId="19" xfId="54" applyNumberFormat="1" applyFont="1" applyBorder="1" applyAlignment="1" applyProtection="1">
      <alignment horizontal="right" vertical="center"/>
      <protection locked="0"/>
    </xf>
    <xf numFmtId="0" fontId="162" fillId="0" borderId="0" xfId="0" applyFont="1" applyAlignment="1">
      <alignment vertical="center"/>
    </xf>
    <xf numFmtId="0" fontId="136" fillId="0" borderId="0" xfId="67" applyFont="1" applyAlignment="1">
      <alignment vertical="center"/>
      <protection/>
    </xf>
    <xf numFmtId="0" fontId="136" fillId="0" borderId="0" xfId="67" applyFont="1">
      <alignment/>
      <protection/>
    </xf>
    <xf numFmtId="0" fontId="162" fillId="0" borderId="0" xfId="67" applyFont="1" applyAlignment="1">
      <alignment vertical="center"/>
      <protection/>
    </xf>
    <xf numFmtId="3" fontId="0" fillId="0" borderId="19" xfId="59" applyNumberFormat="1" applyFont="1" applyBorder="1" applyAlignment="1" quotePrefix="1">
      <alignment horizontal="right" vertical="center"/>
      <protection/>
    </xf>
    <xf numFmtId="0" fontId="146" fillId="0" borderId="0" xfId="54" applyFont="1" applyAlignment="1">
      <alignment vertical="center"/>
      <protection/>
    </xf>
    <xf numFmtId="0" fontId="9" fillId="0" borderId="0" xfId="54" applyFont="1" applyAlignment="1">
      <alignment horizontal="center" vertical="center"/>
      <protection/>
    </xf>
    <xf numFmtId="1" fontId="4" fillId="0" borderId="10" xfId="54" applyNumberFormat="1" applyFont="1" applyBorder="1" applyAlignment="1">
      <alignment vertical="center" wrapText="1"/>
      <protection/>
    </xf>
    <xf numFmtId="1" fontId="0" fillId="0" borderId="19" xfId="54" applyNumberFormat="1" applyBorder="1" applyAlignment="1">
      <alignment horizontal="left" vertical="center" wrapText="1" indent="1"/>
      <protection/>
    </xf>
    <xf numFmtId="3" fontId="131" fillId="0" borderId="19" xfId="54" applyNumberFormat="1" applyFont="1" applyBorder="1" applyAlignment="1">
      <alignment horizontal="right" vertical="center"/>
      <protection/>
    </xf>
    <xf numFmtId="1" fontId="131" fillId="0" borderId="19" xfId="54" applyNumberFormat="1" applyFont="1" applyBorder="1" applyAlignment="1">
      <alignment horizontal="left" vertical="center" wrapText="1" indent="1"/>
      <protection/>
    </xf>
    <xf numFmtId="3" fontId="131" fillId="0" borderId="19" xfId="54" applyNumberFormat="1" applyFont="1" applyBorder="1" applyAlignment="1" quotePrefix="1">
      <alignment horizontal="right" vertical="center"/>
      <protection/>
    </xf>
    <xf numFmtId="3" fontId="0" fillId="0" borderId="19" xfId="54" applyNumberFormat="1" applyBorder="1" applyAlignment="1" quotePrefix="1">
      <alignment horizontal="left" vertical="center" indent="1"/>
      <protection/>
    </xf>
    <xf numFmtId="0" fontId="0" fillId="0" borderId="19" xfId="54" applyBorder="1" applyAlignment="1">
      <alignment horizontal="left" vertical="center" wrapText="1" indent="1"/>
      <protection/>
    </xf>
    <xf numFmtId="1" fontId="0" fillId="0" borderId="0" xfId="54" applyNumberFormat="1" applyAlignment="1">
      <alignment horizontal="left" vertical="center" wrapText="1" indent="1"/>
      <protection/>
    </xf>
    <xf numFmtId="3" fontId="131" fillId="0" borderId="0" xfId="54" applyNumberFormat="1" applyFont="1" applyAlignment="1">
      <alignment horizontal="right" vertical="center"/>
      <protection/>
    </xf>
    <xf numFmtId="3" fontId="20" fillId="0" borderId="0" xfId="54" applyNumberFormat="1" applyFont="1" applyAlignment="1">
      <alignment vertical="center"/>
      <protection/>
    </xf>
    <xf numFmtId="3" fontId="159" fillId="0" borderId="0" xfId="54" applyNumberFormat="1" applyFont="1" applyAlignment="1">
      <alignment vertical="center"/>
      <protection/>
    </xf>
    <xf numFmtId="0" fontId="6" fillId="0" borderId="0" xfId="54" applyFont="1" applyAlignment="1">
      <alignment vertical="center" wrapText="1"/>
      <protection/>
    </xf>
    <xf numFmtId="0" fontId="5" fillId="0" borderId="0" xfId="54" applyFont="1" applyAlignment="1">
      <alignment vertical="center" wrapText="1"/>
      <protection/>
    </xf>
    <xf numFmtId="0" fontId="159" fillId="0" borderId="0" xfId="54" applyFont="1" applyAlignment="1">
      <alignment vertical="center"/>
      <protection/>
    </xf>
    <xf numFmtId="0" fontId="0" fillId="0" borderId="0" xfId="54" applyAlignment="1">
      <alignment vertical="center" wrapText="1"/>
      <protection/>
    </xf>
    <xf numFmtId="164" fontId="20" fillId="0" borderId="0" xfId="54" applyNumberFormat="1" applyFont="1" applyAlignment="1">
      <alignment vertical="center"/>
      <protection/>
    </xf>
    <xf numFmtId="0" fontId="148" fillId="0" borderId="0" xfId="54" applyFont="1" applyAlignment="1">
      <alignment vertical="center"/>
      <protection/>
    </xf>
    <xf numFmtId="0" fontId="165" fillId="0" borderId="0" xfId="54" applyFont="1" applyAlignment="1">
      <alignment vertical="center"/>
      <protection/>
    </xf>
    <xf numFmtId="0" fontId="19" fillId="0" borderId="0" xfId="54" applyFont="1" applyAlignment="1">
      <alignment horizontal="center" vertical="center"/>
      <protection/>
    </xf>
    <xf numFmtId="0" fontId="19" fillId="0" borderId="0" xfId="54" applyFont="1" applyAlignment="1">
      <alignment vertical="center"/>
      <protection/>
    </xf>
    <xf numFmtId="0" fontId="130" fillId="0" borderId="0" xfId="54" applyFont="1" applyAlignment="1">
      <alignment horizontal="center" vertical="center"/>
      <protection/>
    </xf>
    <xf numFmtId="1" fontId="17" fillId="0" borderId="0" xfId="54" applyNumberFormat="1" applyFont="1" applyAlignment="1" applyProtection="1">
      <alignment vertical="center" wrapText="1"/>
      <protection locked="0"/>
    </xf>
    <xf numFmtId="1" fontId="17" fillId="0" borderId="0" xfId="54" applyNumberFormat="1" applyFont="1" applyAlignment="1" applyProtection="1">
      <alignment horizontal="left" vertical="center" wrapText="1"/>
      <protection locked="0"/>
    </xf>
    <xf numFmtId="1" fontId="166" fillId="0" borderId="0" xfId="54" applyNumberFormat="1" applyFont="1" applyAlignment="1" applyProtection="1">
      <alignment horizontal="left" vertical="center" wrapText="1"/>
      <protection locked="0"/>
    </xf>
    <xf numFmtId="1" fontId="17" fillId="0" borderId="0" xfId="54" applyNumberFormat="1" applyFont="1" applyAlignment="1" applyProtection="1">
      <alignment horizontal="right" vertical="center" wrapText="1"/>
      <protection locked="0"/>
    </xf>
    <xf numFmtId="0" fontId="48" fillId="0" borderId="0" xfId="54" applyFont="1" applyAlignment="1">
      <alignment vertical="center"/>
      <protection/>
    </xf>
    <xf numFmtId="1" fontId="4" fillId="33" borderId="19" xfId="54" applyNumberFormat="1" applyFont="1" applyFill="1" applyBorder="1" applyAlignment="1">
      <alignment horizontal="center" vertical="center"/>
      <protection/>
    </xf>
    <xf numFmtId="3" fontId="0" fillId="0" borderId="19" xfId="54" applyNumberFormat="1" applyBorder="1" applyAlignment="1" quotePrefix="1">
      <alignment horizontal="right" vertical="center"/>
      <protection/>
    </xf>
    <xf numFmtId="167" fontId="0" fillId="0" borderId="19" xfId="78" applyNumberFormat="1" applyFont="1" applyFill="1" applyBorder="1" applyAlignment="1">
      <alignment vertical="center"/>
    </xf>
    <xf numFmtId="3" fontId="163" fillId="0" borderId="0" xfId="54" applyNumberFormat="1" applyFont="1" applyAlignment="1">
      <alignment vertical="center"/>
      <protection/>
    </xf>
    <xf numFmtId="0" fontId="151" fillId="0" borderId="0" xfId="76" applyFont="1" applyAlignment="1">
      <alignment horizontal="center" vertical="center"/>
      <protection/>
    </xf>
    <xf numFmtId="3" fontId="151" fillId="0" borderId="0" xfId="76" applyNumberFormat="1" applyFont="1" applyAlignment="1">
      <alignment vertical="center"/>
      <protection/>
    </xf>
    <xf numFmtId="0" fontId="167" fillId="0" borderId="0" xfId="76" applyFont="1" applyAlignment="1">
      <alignment vertical="center"/>
      <protection/>
    </xf>
    <xf numFmtId="0" fontId="151" fillId="0" borderId="0" xfId="75" applyFont="1" applyAlignment="1">
      <alignment horizontal="center" vertical="center"/>
      <protection/>
    </xf>
    <xf numFmtId="3" fontId="151" fillId="0" borderId="0" xfId="75" applyNumberFormat="1" applyFont="1" applyAlignment="1">
      <alignment vertical="center"/>
      <protection/>
    </xf>
    <xf numFmtId="0" fontId="151" fillId="0" borderId="0" xfId="75" applyFont="1" applyAlignment="1">
      <alignment vertical="center"/>
      <protection/>
    </xf>
    <xf numFmtId="3" fontId="151" fillId="0" borderId="0" xfId="69" applyNumberFormat="1" applyFont="1" applyAlignment="1">
      <alignment horizontal="right" vertical="center" wrapText="1"/>
      <protection/>
    </xf>
    <xf numFmtId="1" fontId="151" fillId="0" borderId="0" xfId="0" applyNumberFormat="1" applyFont="1" applyAlignment="1">
      <alignment horizontal="center" vertical="center"/>
    </xf>
    <xf numFmtId="3" fontId="151" fillId="0" borderId="0" xfId="0" applyNumberFormat="1" applyFont="1" applyAlignment="1">
      <alignment horizontal="center" vertical="center"/>
    </xf>
    <xf numFmtId="3" fontId="151" fillId="0" borderId="0" xfId="0" applyNumberFormat="1" applyFont="1" applyAlignment="1" quotePrefix="1">
      <alignment horizontal="center" vertical="center"/>
    </xf>
    <xf numFmtId="0" fontId="151" fillId="0" borderId="0" xfId="0" applyFont="1" applyAlignment="1">
      <alignment vertical="center"/>
    </xf>
    <xf numFmtId="0" fontId="136" fillId="33" borderId="0" xfId="0" applyFont="1" applyFill="1" applyAlignment="1">
      <alignment horizontal="center" vertical="center"/>
    </xf>
    <xf numFmtId="0" fontId="163" fillId="0" borderId="0" xfId="0" applyFont="1" applyAlignment="1">
      <alignment vertical="center"/>
    </xf>
    <xf numFmtId="0" fontId="147" fillId="33" borderId="19" xfId="0" applyFont="1" applyFill="1" applyBorder="1" applyAlignment="1" applyProtection="1">
      <alignment horizontal="center" vertical="center"/>
      <protection locked="0"/>
    </xf>
    <xf numFmtId="0" fontId="147" fillId="33" borderId="19" xfId="0" applyFont="1" applyFill="1" applyBorder="1" applyAlignment="1" applyProtection="1">
      <alignment horizontal="left" vertical="center"/>
      <protection locked="0"/>
    </xf>
    <xf numFmtId="3" fontId="146" fillId="0" borderId="19" xfId="0" applyNumberFormat="1" applyFont="1" applyBorder="1" applyAlignment="1" applyProtection="1">
      <alignment horizontal="right" vertical="center"/>
      <protection locked="0"/>
    </xf>
    <xf numFmtId="3" fontId="146" fillId="0" borderId="13" xfId="0" applyNumberFormat="1" applyFont="1" applyBorder="1" applyAlignment="1" applyProtection="1">
      <alignment horizontal="right" vertical="center"/>
      <protection locked="0"/>
    </xf>
    <xf numFmtId="0" fontId="147" fillId="33" borderId="19" xfId="54" applyFont="1" applyFill="1" applyBorder="1" applyAlignment="1">
      <alignment horizontal="center" vertical="center"/>
      <protection/>
    </xf>
    <xf numFmtId="3" fontId="147" fillId="33" borderId="19" xfId="54" applyNumberFormat="1" applyFont="1" applyFill="1" applyBorder="1" applyAlignment="1">
      <alignment horizontal="right" vertical="center"/>
      <protection/>
    </xf>
    <xf numFmtId="3" fontId="146" fillId="0" borderId="19" xfId="54" applyNumberFormat="1" applyFont="1" applyBorder="1" applyAlignment="1">
      <alignment horizontal="right" vertical="center"/>
      <protection/>
    </xf>
    <xf numFmtId="3" fontId="130" fillId="33" borderId="19" xfId="54" applyNumberFormat="1" applyFont="1" applyFill="1" applyBorder="1" applyAlignment="1">
      <alignment horizontal="right" vertical="center"/>
      <protection/>
    </xf>
    <xf numFmtId="3" fontId="159" fillId="0" borderId="19" xfId="54" applyNumberFormat="1" applyFont="1" applyBorder="1" applyAlignment="1">
      <alignment horizontal="right" vertical="center"/>
      <protection/>
    </xf>
    <xf numFmtId="0" fontId="130" fillId="33" borderId="19" xfId="0" applyFont="1" applyFill="1" applyBorder="1" applyAlignment="1" applyProtection="1">
      <alignment horizontal="center" vertical="center"/>
      <protection locked="0"/>
    </xf>
    <xf numFmtId="0" fontId="130" fillId="33" borderId="19" xfId="0" applyFont="1" applyFill="1" applyBorder="1" applyAlignment="1" applyProtection="1">
      <alignment horizontal="left" vertical="center"/>
      <protection locked="0"/>
    </xf>
    <xf numFmtId="3" fontId="131" fillId="0" borderId="13" xfId="0" applyNumberFormat="1" applyFont="1" applyBorder="1" applyAlignment="1" applyProtection="1">
      <alignment horizontal="right" vertical="center"/>
      <protection locked="0"/>
    </xf>
    <xf numFmtId="0" fontId="146" fillId="0" borderId="0" xfId="54" applyFont="1" applyAlignment="1">
      <alignment horizontal="center" vertical="center"/>
      <protection/>
    </xf>
    <xf numFmtId="0" fontId="147" fillId="33" borderId="19" xfId="54" applyFont="1" applyFill="1" applyBorder="1" applyAlignment="1">
      <alignment horizontal="center" vertical="center"/>
      <protection/>
    </xf>
    <xf numFmtId="3" fontId="147" fillId="38" borderId="13" xfId="54" applyNumberFormat="1" applyFont="1" applyFill="1" applyBorder="1" applyAlignment="1">
      <alignment vertical="center"/>
      <protection/>
    </xf>
    <xf numFmtId="167" fontId="147" fillId="38" borderId="13" xfId="54" applyNumberFormat="1" applyFont="1" applyFill="1" applyBorder="1" applyAlignment="1">
      <alignment vertical="center"/>
      <protection/>
    </xf>
    <xf numFmtId="3" fontId="146" fillId="0" borderId="13" xfId="54" applyNumberFormat="1" applyFont="1" applyBorder="1" applyAlignment="1">
      <alignment vertical="center"/>
      <protection/>
    </xf>
    <xf numFmtId="167" fontId="146" fillId="0" borderId="13" xfId="54" applyNumberFormat="1" applyFont="1" applyBorder="1" applyAlignment="1">
      <alignment horizontal="right" vertical="center"/>
      <protection/>
    </xf>
    <xf numFmtId="167" fontId="146" fillId="0" borderId="13" xfId="54" applyNumberFormat="1" applyFont="1" applyBorder="1" applyAlignment="1">
      <alignment vertical="center"/>
      <protection/>
    </xf>
    <xf numFmtId="3" fontId="147" fillId="33" borderId="19" xfId="54" applyNumberFormat="1" applyFont="1" applyFill="1" applyBorder="1" applyAlignment="1">
      <alignment vertical="center"/>
      <protection/>
    </xf>
    <xf numFmtId="164" fontId="146" fillId="0" borderId="0" xfId="54" applyNumberFormat="1" applyFont="1" applyAlignment="1">
      <alignment vertical="center"/>
      <protection/>
    </xf>
    <xf numFmtId="3" fontId="148" fillId="0" borderId="0" xfId="54" applyNumberFormat="1" applyFont="1" applyAlignment="1">
      <alignment vertical="center"/>
      <protection/>
    </xf>
    <xf numFmtId="3" fontId="146" fillId="0" borderId="0" xfId="54" applyNumberFormat="1" applyFont="1">
      <alignment/>
      <protection/>
    </xf>
    <xf numFmtId="167" fontId="146" fillId="0" borderId="0" xfId="78" applyNumberFormat="1" applyFont="1" applyAlignment="1">
      <alignment/>
    </xf>
    <xf numFmtId="167" fontId="0" fillId="0" borderId="0" xfId="78" applyNumberFormat="1" applyFont="1" applyAlignment="1">
      <alignment/>
    </xf>
    <xf numFmtId="3" fontId="146" fillId="0" borderId="19" xfId="54" applyNumberFormat="1" applyFont="1" applyBorder="1" applyAlignment="1">
      <alignment vertical="center"/>
      <protection/>
    </xf>
    <xf numFmtId="0" fontId="168" fillId="0" borderId="0" xfId="54" applyFont="1" applyAlignment="1">
      <alignment vertical="center"/>
      <protection/>
    </xf>
    <xf numFmtId="3" fontId="147" fillId="33" borderId="19" xfId="54" applyNumberFormat="1" applyFont="1" applyFill="1" applyBorder="1" applyAlignment="1">
      <alignment horizontal="center" vertical="center"/>
      <protection/>
    </xf>
    <xf numFmtId="3" fontId="147" fillId="33" borderId="19" xfId="54" applyNumberFormat="1" applyFont="1" applyFill="1" applyBorder="1" applyAlignment="1">
      <alignment vertical="center"/>
      <protection/>
    </xf>
    <xf numFmtId="0" fontId="147" fillId="0" borderId="0" xfId="54" applyFont="1" applyAlignment="1">
      <alignment horizontal="center" vertical="center"/>
      <protection/>
    </xf>
    <xf numFmtId="3" fontId="146" fillId="0" borderId="19" xfId="34" applyNumberFormat="1" applyFont="1" applyFill="1" applyBorder="1" applyAlignment="1">
      <alignment horizontal="right" vertical="center"/>
    </xf>
    <xf numFmtId="3" fontId="146" fillId="0" borderId="19" xfId="34" applyNumberFormat="1" applyFont="1" applyFill="1" applyBorder="1" applyAlignment="1" quotePrefix="1">
      <alignment horizontal="right" vertical="center"/>
    </xf>
    <xf numFmtId="3" fontId="146" fillId="0" borderId="19" xfId="54" applyNumberFormat="1" applyFont="1" applyBorder="1" applyAlignment="1" quotePrefix="1">
      <alignment horizontal="right" vertical="center"/>
      <protection/>
    </xf>
    <xf numFmtId="3" fontId="146" fillId="0" borderId="0" xfId="54" applyNumberFormat="1" applyFont="1" applyAlignment="1">
      <alignment horizontal="right" vertical="center"/>
      <protection/>
    </xf>
    <xf numFmtId="0" fontId="130" fillId="33" borderId="19" xfId="54" applyFont="1" applyFill="1" applyBorder="1" applyAlignment="1">
      <alignment horizontal="center" vertical="center"/>
      <protection/>
    </xf>
    <xf numFmtId="3" fontId="130" fillId="33" borderId="19" xfId="0" applyNumberFormat="1" applyFont="1" applyFill="1" applyBorder="1" applyAlignment="1" applyProtection="1">
      <alignment vertical="center"/>
      <protection locked="0"/>
    </xf>
    <xf numFmtId="3" fontId="131" fillId="0" borderId="19" xfId="0" applyNumberFormat="1" applyFont="1" applyBorder="1" applyAlignment="1" applyProtection="1">
      <alignment vertical="center"/>
      <protection locked="0"/>
    </xf>
    <xf numFmtId="3" fontId="131" fillId="0" borderId="0" xfId="54" applyNumberFormat="1" applyFont="1" applyAlignment="1" applyProtection="1">
      <alignment vertical="center"/>
      <protection locked="0"/>
    </xf>
    <xf numFmtId="3" fontId="147" fillId="33" borderId="19" xfId="0" applyNumberFormat="1" applyFont="1" applyFill="1" applyBorder="1" applyAlignment="1" applyProtection="1">
      <alignment vertical="center"/>
      <protection locked="0"/>
    </xf>
    <xf numFmtId="3" fontId="146" fillId="0" borderId="19" xfId="0" applyNumberFormat="1" applyFont="1" applyBorder="1" applyAlignment="1" applyProtection="1">
      <alignment vertical="center"/>
      <protection locked="0"/>
    </xf>
    <xf numFmtId="3" fontId="146" fillId="0" borderId="0" xfId="54" applyNumberFormat="1" applyFont="1" applyAlignment="1" applyProtection="1">
      <alignment vertical="center"/>
      <protection locked="0"/>
    </xf>
    <xf numFmtId="0" fontId="0" fillId="0" borderId="19" xfId="54" applyBorder="1" applyAlignment="1" applyProtection="1">
      <alignment horizontal="left" vertical="center" wrapText="1" indent="2"/>
      <protection locked="0"/>
    </xf>
    <xf numFmtId="3" fontId="146" fillId="0" borderId="19" xfId="54" applyNumberFormat="1" applyFont="1" applyBorder="1" applyAlignment="1" applyProtection="1">
      <alignment vertical="center"/>
      <protection locked="0"/>
    </xf>
    <xf numFmtId="0" fontId="147" fillId="33" borderId="12" xfId="54" applyFont="1" applyFill="1" applyBorder="1" applyAlignment="1">
      <alignment horizontal="center" vertical="center"/>
      <protection/>
    </xf>
    <xf numFmtId="0" fontId="147" fillId="2" borderId="12" xfId="54" applyFont="1" applyFill="1" applyBorder="1" applyAlignment="1">
      <alignment horizontal="center" vertical="center"/>
      <protection/>
    </xf>
    <xf numFmtId="3" fontId="147" fillId="33" borderId="12" xfId="54" applyNumberFormat="1" applyFont="1" applyFill="1" applyBorder="1" applyAlignment="1">
      <alignment vertical="center"/>
      <protection/>
    </xf>
    <xf numFmtId="3" fontId="146" fillId="0" borderId="12" xfId="54" applyNumberFormat="1" applyFont="1" applyBorder="1" applyAlignment="1" applyProtection="1">
      <alignment vertical="center"/>
      <protection locked="0"/>
    </xf>
    <xf numFmtId="170" fontId="146" fillId="0" borderId="12" xfId="54" applyNumberFormat="1" applyFont="1" applyBorder="1" applyAlignment="1" applyProtection="1">
      <alignment vertical="center"/>
      <protection locked="0"/>
    </xf>
    <xf numFmtId="9" fontId="146" fillId="0" borderId="12" xfId="54" applyNumberFormat="1" applyFont="1" applyBorder="1" applyAlignment="1" applyProtection="1">
      <alignment horizontal="right" vertical="center"/>
      <protection locked="0"/>
    </xf>
    <xf numFmtId="3" fontId="147" fillId="33" borderId="12" xfId="54" applyNumberFormat="1" applyFont="1" applyFill="1" applyBorder="1" applyAlignment="1" applyProtection="1">
      <alignment vertical="center"/>
      <protection locked="0"/>
    </xf>
    <xf numFmtId="9" fontId="146" fillId="0" borderId="12" xfId="54" applyNumberFormat="1" applyFont="1" applyBorder="1" applyAlignment="1" applyProtection="1">
      <alignment vertical="center"/>
      <protection locked="0"/>
    </xf>
    <xf numFmtId="3" fontId="146" fillId="0" borderId="12" xfId="54" applyNumberFormat="1" applyFont="1" applyBorder="1" applyAlignment="1" applyProtection="1" quotePrefix="1">
      <alignment horizontal="right" vertical="center"/>
      <protection locked="0"/>
    </xf>
    <xf numFmtId="170" fontId="146" fillId="2" borderId="12" xfId="54" applyNumberFormat="1" applyFont="1" applyFill="1" applyBorder="1" applyAlignment="1" applyProtection="1">
      <alignment vertical="center"/>
      <protection locked="0"/>
    </xf>
    <xf numFmtId="0" fontId="169" fillId="0" borderId="0" xfId="54" applyFont="1" applyAlignment="1">
      <alignment vertical="center"/>
      <protection/>
    </xf>
    <xf numFmtId="0" fontId="170" fillId="0" borderId="0" xfId="54" applyFont="1" applyAlignment="1">
      <alignment vertical="center"/>
      <protection/>
    </xf>
    <xf numFmtId="0" fontId="147" fillId="33" borderId="12" xfId="64" applyFont="1" applyFill="1" applyBorder="1" applyAlignment="1">
      <alignment horizontal="center" vertical="center"/>
      <protection/>
    </xf>
    <xf numFmtId="0" fontId="147" fillId="2" borderId="12" xfId="64" applyFont="1" applyFill="1" applyBorder="1" applyAlignment="1">
      <alignment horizontal="center" vertical="center"/>
      <protection/>
    </xf>
    <xf numFmtId="3" fontId="147" fillId="33" borderId="12" xfId="64" applyNumberFormat="1" applyFont="1" applyFill="1" applyBorder="1" applyAlignment="1">
      <alignment vertical="center"/>
      <protection/>
    </xf>
    <xf numFmtId="4" fontId="146" fillId="0" borderId="12" xfId="54" applyNumberFormat="1" applyFont="1" applyBorder="1" applyAlignment="1" applyProtection="1">
      <alignment horizontal="right" vertical="center"/>
      <protection locked="0"/>
    </xf>
    <xf numFmtId="170" fontId="146" fillId="33" borderId="12" xfId="54" applyNumberFormat="1" applyFont="1" applyFill="1" applyBorder="1" applyAlignment="1" applyProtection="1">
      <alignment vertical="center"/>
      <protection locked="0"/>
    </xf>
    <xf numFmtId="1" fontId="146" fillId="0" borderId="12" xfId="54" applyNumberFormat="1" applyFont="1" applyBorder="1" applyAlignment="1" applyProtection="1">
      <alignment horizontal="right" vertical="center"/>
      <protection locked="0"/>
    </xf>
    <xf numFmtId="4" fontId="146" fillId="0" borderId="12" xfId="54" applyNumberFormat="1" applyFont="1" applyBorder="1" applyAlignment="1" applyProtection="1">
      <alignment vertical="center"/>
      <protection locked="0"/>
    </xf>
    <xf numFmtId="3" fontId="146" fillId="0" borderId="12" xfId="64" applyNumberFormat="1" applyFont="1" applyBorder="1" applyAlignment="1" quotePrefix="1">
      <alignment horizontal="right" vertical="center"/>
      <protection/>
    </xf>
    <xf numFmtId="3" fontId="146" fillId="0" borderId="19" xfId="54" applyNumberFormat="1" applyFont="1" applyBorder="1" applyAlignment="1">
      <alignment horizontal="center" vertical="center"/>
      <protection/>
    </xf>
    <xf numFmtId="3" fontId="146" fillId="0" borderId="19" xfId="54" applyNumberFormat="1" applyFont="1" applyBorder="1" applyAlignment="1" quotePrefix="1">
      <alignment horizontal="center" vertical="center"/>
      <protection/>
    </xf>
    <xf numFmtId="168" fontId="146" fillId="33" borderId="19" xfId="54" applyNumberFormat="1" applyFont="1" applyFill="1" applyBorder="1" applyAlignment="1">
      <alignment horizontal="center" vertical="center"/>
      <protection/>
    </xf>
    <xf numFmtId="0" fontId="146" fillId="33" borderId="19" xfId="54" applyFont="1" applyFill="1" applyBorder="1" applyAlignment="1">
      <alignment horizontal="center" vertical="center" wrapText="1"/>
      <protection/>
    </xf>
    <xf numFmtId="0" fontId="148" fillId="0" borderId="0" xfId="54" applyFont="1" applyAlignment="1">
      <alignment horizontal="center" vertical="center"/>
      <protection/>
    </xf>
    <xf numFmtId="0" fontId="170" fillId="0" borderId="0" xfId="54" applyFont="1" applyAlignment="1">
      <alignment vertical="center" wrapText="1"/>
      <protection/>
    </xf>
    <xf numFmtId="170" fontId="0" fillId="0" borderId="19" xfId="66" applyNumberFormat="1" applyBorder="1" applyAlignment="1">
      <alignment horizontal="right" vertical="center"/>
      <protection/>
    </xf>
    <xf numFmtId="0" fontId="146" fillId="0" borderId="0" xfId="66" applyFont="1" applyAlignment="1">
      <alignment vertical="center"/>
      <protection/>
    </xf>
    <xf numFmtId="0" fontId="147" fillId="33" borderId="12" xfId="66" applyFont="1" applyFill="1" applyBorder="1" applyAlignment="1">
      <alignment horizontal="center" vertical="center"/>
      <protection/>
    </xf>
    <xf numFmtId="3" fontId="147" fillId="33" borderId="12" xfId="66" applyNumberFormat="1" applyFont="1" applyFill="1" applyBorder="1" applyAlignment="1">
      <alignment vertical="center"/>
      <protection/>
    </xf>
    <xf numFmtId="3" fontId="146" fillId="0" borderId="19" xfId="66" applyNumberFormat="1" applyFont="1" applyBorder="1" applyAlignment="1" quotePrefix="1">
      <alignment horizontal="right" vertical="center"/>
      <protection/>
    </xf>
    <xf numFmtId="171" fontId="146" fillId="0" borderId="12" xfId="54" applyNumberFormat="1" applyFont="1" applyBorder="1" applyAlignment="1" applyProtection="1">
      <alignment vertical="center"/>
      <protection locked="0"/>
    </xf>
    <xf numFmtId="170" fontId="171" fillId="33" borderId="12" xfId="54" applyNumberFormat="1" applyFont="1" applyFill="1" applyBorder="1" applyAlignment="1" applyProtection="1">
      <alignment horizontal="center" vertical="center"/>
      <protection locked="0"/>
    </xf>
    <xf numFmtId="3" fontId="146" fillId="0" borderId="19" xfId="66" applyNumberFormat="1" applyFont="1" applyBorder="1" applyAlignment="1">
      <alignment horizontal="right" vertical="center"/>
      <protection/>
    </xf>
    <xf numFmtId="3" fontId="146" fillId="0" borderId="12" xfId="66" applyNumberFormat="1" applyFont="1" applyBorder="1" applyAlignment="1">
      <alignment horizontal="right" vertical="center"/>
      <protection/>
    </xf>
    <xf numFmtId="0" fontId="146" fillId="0" borderId="12" xfId="54" applyFont="1" applyBorder="1" applyAlignment="1" applyProtection="1">
      <alignment vertical="center"/>
      <protection locked="0"/>
    </xf>
    <xf numFmtId="0" fontId="146" fillId="0" borderId="12" xfId="54" applyFont="1" applyBorder="1" applyAlignment="1" applyProtection="1">
      <alignment horizontal="right" vertical="center"/>
      <protection locked="0"/>
    </xf>
    <xf numFmtId="170" fontId="171" fillId="33" borderId="25" xfId="54" applyNumberFormat="1" applyFont="1" applyFill="1" applyBorder="1" applyAlignment="1" applyProtection="1">
      <alignment horizontal="center" vertical="center"/>
      <protection locked="0"/>
    </xf>
    <xf numFmtId="0" fontId="148" fillId="0" borderId="0" xfId="66" applyFont="1" applyAlignment="1">
      <alignment vertical="center"/>
      <protection/>
    </xf>
    <xf numFmtId="0" fontId="172" fillId="0" borderId="0" xfId="66" applyFont="1" applyAlignment="1">
      <alignment vertical="center"/>
      <protection/>
    </xf>
    <xf numFmtId="0" fontId="147" fillId="33" borderId="12" xfId="65" applyFont="1" applyFill="1" applyBorder="1" applyAlignment="1">
      <alignment horizontal="center" vertical="center"/>
      <protection/>
    </xf>
    <xf numFmtId="3" fontId="147" fillId="33" borderId="12" xfId="65" applyNumberFormat="1" applyFont="1" applyFill="1" applyBorder="1" applyAlignment="1">
      <alignment vertical="center"/>
      <protection/>
    </xf>
    <xf numFmtId="3" fontId="146" fillId="0" borderId="19" xfId="65" applyNumberFormat="1" applyFont="1" applyBorder="1" applyAlignment="1">
      <alignment horizontal="right" vertical="center"/>
      <protection/>
    </xf>
    <xf numFmtId="170" fontId="146" fillId="0" borderId="12" xfId="54" applyNumberFormat="1" applyFont="1" applyBorder="1" applyAlignment="1" applyProtection="1">
      <alignment horizontal="right" vertical="center"/>
      <protection locked="0"/>
    </xf>
    <xf numFmtId="3" fontId="146" fillId="41" borderId="19" xfId="54" applyNumberFormat="1" applyFont="1" applyFill="1" applyBorder="1" applyAlignment="1">
      <alignment horizontal="right" vertical="center"/>
      <protection/>
    </xf>
    <xf numFmtId="170" fontId="146" fillId="41" borderId="24" xfId="54" applyNumberFormat="1" applyFont="1" applyFill="1" applyBorder="1" applyAlignment="1">
      <alignment horizontal="right" vertical="center"/>
      <protection/>
    </xf>
    <xf numFmtId="170" fontId="171" fillId="33" borderId="12" xfId="54" applyNumberFormat="1" applyFont="1" applyFill="1" applyBorder="1" applyAlignment="1" applyProtection="1">
      <alignment vertical="center"/>
      <protection locked="0"/>
    </xf>
    <xf numFmtId="3" fontId="169" fillId="33" borderId="12" xfId="54" applyNumberFormat="1" applyFont="1" applyFill="1" applyBorder="1" applyAlignment="1" applyProtection="1">
      <alignment vertical="center"/>
      <protection locked="0"/>
    </xf>
    <xf numFmtId="3" fontId="146" fillId="0" borderId="12" xfId="54" applyNumberFormat="1" applyFont="1" applyBorder="1" applyAlignment="1" applyProtection="1">
      <alignment horizontal="right" vertical="center"/>
      <protection locked="0"/>
    </xf>
    <xf numFmtId="0" fontId="148" fillId="0" borderId="0" xfId="54" applyFont="1">
      <alignment/>
      <protection/>
    </xf>
    <xf numFmtId="3" fontId="147" fillId="33" borderId="19" xfId="0" applyNumberFormat="1" applyFont="1" applyFill="1" applyBorder="1" applyAlignment="1">
      <alignment vertical="center"/>
    </xf>
    <xf numFmtId="167" fontId="147" fillId="33" borderId="19" xfId="78" applyNumberFormat="1" applyFont="1" applyFill="1" applyBorder="1" applyAlignment="1">
      <alignment vertical="center"/>
    </xf>
    <xf numFmtId="0" fontId="172" fillId="0" borderId="0" xfId="0" applyFont="1" applyAlignment="1">
      <alignment vertical="center"/>
    </xf>
    <xf numFmtId="3" fontId="147" fillId="0" borderId="19" xfId="54" applyNumberFormat="1" applyFont="1" applyBorder="1" applyAlignment="1">
      <alignment horizontal="right" vertical="center"/>
      <protection/>
    </xf>
    <xf numFmtId="3" fontId="146" fillId="0" borderId="0" xfId="0" applyNumberFormat="1" applyFont="1" applyAlignment="1">
      <alignment/>
    </xf>
    <xf numFmtId="0" fontId="0" fillId="0" borderId="0" xfId="54">
      <alignment/>
      <protection/>
    </xf>
    <xf numFmtId="0" fontId="0" fillId="0" borderId="0" xfId="54" applyAlignment="1">
      <alignment wrapText="1"/>
      <protection/>
    </xf>
    <xf numFmtId="0" fontId="20" fillId="0" borderId="0" xfId="54" applyFont="1">
      <alignment/>
      <protection/>
    </xf>
    <xf numFmtId="0" fontId="8" fillId="0" borderId="0" xfId="54" applyFont="1" applyAlignment="1">
      <alignment horizontal="left" vertical="center"/>
      <protection/>
    </xf>
    <xf numFmtId="0" fontId="11" fillId="0" borderId="0" xfId="54" applyFont="1">
      <alignment/>
      <protection/>
    </xf>
    <xf numFmtId="1" fontId="4" fillId="33" borderId="26" xfId="54" applyNumberFormat="1" applyFont="1" applyFill="1" applyBorder="1" applyAlignment="1">
      <alignment horizontal="left" vertical="center" wrapText="1"/>
      <protection/>
    </xf>
    <xf numFmtId="3" fontId="0" fillId="0" borderId="27" xfId="54" applyNumberFormat="1" applyBorder="1" applyAlignment="1">
      <alignment horizontal="center" vertical="center"/>
      <protection/>
    </xf>
    <xf numFmtId="3" fontId="0" fillId="0" borderId="28" xfId="54" applyNumberFormat="1" applyBorder="1" applyAlignment="1">
      <alignment horizontal="center" vertical="center"/>
      <protection/>
    </xf>
    <xf numFmtId="0" fontId="0" fillId="0" borderId="29" xfId="54" applyBorder="1" applyAlignment="1">
      <alignment horizontal="left" vertical="center" wrapText="1"/>
      <protection/>
    </xf>
    <xf numFmtId="1" fontId="4" fillId="33" borderId="27" xfId="54" applyNumberFormat="1" applyFont="1" applyFill="1" applyBorder="1" applyAlignment="1">
      <alignment horizontal="center" vertical="center" wrapText="1"/>
      <protection/>
    </xf>
    <xf numFmtId="1" fontId="4" fillId="33" borderId="15" xfId="54" applyNumberFormat="1" applyFont="1" applyFill="1" applyBorder="1" applyAlignment="1">
      <alignment horizontal="center" vertical="center" wrapText="1"/>
      <protection/>
    </xf>
    <xf numFmtId="1" fontId="4" fillId="33" borderId="30" xfId="54" applyNumberFormat="1" applyFont="1" applyFill="1" applyBorder="1" applyAlignment="1">
      <alignment horizontal="center" vertical="center" wrapText="1"/>
      <protection/>
    </xf>
    <xf numFmtId="1" fontId="4" fillId="33" borderId="31" xfId="54" applyNumberFormat="1" applyFont="1" applyFill="1" applyBorder="1" applyAlignment="1">
      <alignment horizontal="left" vertical="center" wrapText="1"/>
      <protection/>
    </xf>
    <xf numFmtId="3" fontId="0" fillId="0" borderId="32" xfId="54" applyNumberFormat="1" applyBorder="1" applyAlignment="1">
      <alignment horizontal="center" vertical="center"/>
      <protection/>
    </xf>
    <xf numFmtId="3" fontId="0" fillId="0" borderId="11" xfId="54" applyNumberFormat="1" applyBorder="1" applyAlignment="1">
      <alignment horizontal="center" vertical="center"/>
      <protection/>
    </xf>
    <xf numFmtId="3" fontId="0" fillId="0" borderId="33" xfId="54" applyNumberFormat="1" applyBorder="1" applyAlignment="1">
      <alignment horizontal="center" vertical="center"/>
      <protection/>
    </xf>
    <xf numFmtId="1" fontId="4" fillId="33" borderId="34" xfId="54" applyNumberFormat="1" applyFont="1" applyFill="1" applyBorder="1" applyAlignment="1">
      <alignment horizontal="left" vertical="center" wrapText="1"/>
      <protection/>
    </xf>
    <xf numFmtId="0" fontId="6" fillId="0" borderId="0" xfId="54" applyFont="1" applyAlignment="1">
      <alignment horizontal="left" vertical="center" wrapText="1"/>
      <protection/>
    </xf>
    <xf numFmtId="0" fontId="151" fillId="0" borderId="0" xfId="54" applyFont="1" applyAlignment="1">
      <alignment horizontal="center" vertical="center"/>
      <protection/>
    </xf>
    <xf numFmtId="1" fontId="4" fillId="0" borderId="0" xfId="54" applyNumberFormat="1" applyFont="1" applyAlignment="1">
      <alignment horizontal="left" vertical="center" wrapText="1"/>
      <protection/>
    </xf>
    <xf numFmtId="3" fontId="4" fillId="0" borderId="27" xfId="54" applyNumberFormat="1" applyFont="1" applyBorder="1" applyAlignment="1">
      <alignment horizontal="center" vertical="center"/>
      <protection/>
    </xf>
    <xf numFmtId="3" fontId="4" fillId="0" borderId="19" xfId="54" applyNumberFormat="1" applyFont="1" applyBorder="1" applyAlignment="1">
      <alignment horizontal="center" vertical="center"/>
      <protection/>
    </xf>
    <xf numFmtId="0" fontId="4" fillId="0" borderId="19" xfId="54" applyFont="1" applyBorder="1" applyAlignment="1">
      <alignment horizontal="center" vertical="center"/>
      <protection/>
    </xf>
    <xf numFmtId="0" fontId="4" fillId="0" borderId="28" xfId="54" applyFont="1" applyBorder="1" applyAlignment="1">
      <alignment horizontal="center" vertical="center"/>
      <protection/>
    </xf>
    <xf numFmtId="3" fontId="4" fillId="33" borderId="27" xfId="54" applyNumberFormat="1" applyFont="1" applyFill="1" applyBorder="1" applyAlignment="1">
      <alignment horizontal="center" vertical="center"/>
      <protection/>
    </xf>
    <xf numFmtId="3" fontId="4" fillId="33" borderId="35" xfId="54" applyNumberFormat="1" applyFont="1" applyFill="1" applyBorder="1" applyAlignment="1">
      <alignment horizontal="center" vertical="center"/>
      <protection/>
    </xf>
    <xf numFmtId="1" fontId="4" fillId="33" borderId="19" xfId="54" applyNumberFormat="1" applyFont="1" applyFill="1" applyBorder="1" applyAlignment="1">
      <alignment horizontal="center" vertical="center" wrapText="1"/>
      <protection/>
    </xf>
    <xf numFmtId="1" fontId="4" fillId="33" borderId="28" xfId="54" applyNumberFormat="1" applyFont="1" applyFill="1" applyBorder="1" applyAlignment="1">
      <alignment horizontal="center" vertical="center" wrapText="1"/>
      <protection/>
    </xf>
    <xf numFmtId="0" fontId="4" fillId="0" borderId="0" xfId="54" applyFont="1" applyAlignment="1">
      <alignment wrapText="1"/>
      <protection/>
    </xf>
    <xf numFmtId="164" fontId="146" fillId="0" borderId="0" xfId="54" applyNumberFormat="1" applyFont="1" applyAlignment="1">
      <alignment horizontal="center" vertical="center"/>
      <protection/>
    </xf>
    <xf numFmtId="167" fontId="146" fillId="0" borderId="19" xfId="78" applyNumberFormat="1" applyFont="1" applyBorder="1" applyAlignment="1">
      <alignment vertical="center"/>
    </xf>
    <xf numFmtId="167" fontId="146" fillId="0" borderId="0" xfId="78" applyNumberFormat="1" applyFont="1" applyAlignment="1">
      <alignment vertical="center"/>
    </xf>
    <xf numFmtId="0" fontId="168" fillId="0" borderId="0" xfId="0" applyFont="1" applyAlignment="1">
      <alignment vertical="center"/>
    </xf>
    <xf numFmtId="0" fontId="147" fillId="33" borderId="19" xfId="0" applyFont="1" applyFill="1" applyBorder="1" applyAlignment="1">
      <alignment horizontal="right" vertical="center"/>
    </xf>
    <xf numFmtId="0" fontId="148" fillId="0" borderId="0" xfId="0" applyFont="1" applyAlignment="1">
      <alignment/>
    </xf>
    <xf numFmtId="3" fontId="147" fillId="33" borderId="19" xfId="0" applyNumberFormat="1" applyFont="1" applyFill="1" applyBorder="1" applyAlignment="1">
      <alignment horizontal="center" vertical="center"/>
    </xf>
    <xf numFmtId="3" fontId="146" fillId="0" borderId="19" xfId="0" applyNumberFormat="1" applyFont="1" applyBorder="1" applyAlignment="1">
      <alignment vertical="center"/>
    </xf>
    <xf numFmtId="0" fontId="147" fillId="33" borderId="19" xfId="0" applyFont="1" applyFill="1" applyBorder="1" applyAlignment="1">
      <alignment horizontal="left" vertical="center"/>
    </xf>
    <xf numFmtId="3" fontId="147" fillId="33" borderId="19" xfId="0" applyNumberFormat="1" applyFont="1" applyFill="1" applyBorder="1" applyAlignment="1">
      <alignment horizontal="left" vertical="center"/>
    </xf>
    <xf numFmtId="3" fontId="146" fillId="33" borderId="19" xfId="0" applyNumberFormat="1" applyFont="1" applyFill="1" applyBorder="1" applyAlignment="1">
      <alignment horizontal="center" vertical="center"/>
    </xf>
    <xf numFmtId="3" fontId="147" fillId="39" borderId="19" xfId="0" applyNumberFormat="1" applyFont="1" applyFill="1" applyBorder="1" applyAlignment="1">
      <alignment horizontal="right" vertical="center"/>
    </xf>
    <xf numFmtId="3" fontId="146" fillId="0" borderId="19" xfId="0" applyNumberFormat="1" applyFont="1" applyBorder="1" applyAlignment="1" quotePrefix="1">
      <alignment horizontal="right" vertical="center"/>
    </xf>
    <xf numFmtId="0" fontId="146" fillId="0" borderId="0" xfId="63" applyFont="1" applyAlignment="1">
      <alignment vertical="center"/>
      <protection/>
    </xf>
    <xf numFmtId="0" fontId="147" fillId="33" borderId="19" xfId="63" applyFont="1" applyFill="1" applyBorder="1" applyAlignment="1">
      <alignment horizontal="center" vertical="center"/>
      <protection/>
    </xf>
    <xf numFmtId="0" fontId="148" fillId="0" borderId="0" xfId="63" applyFont="1" applyAlignment="1">
      <alignment vertical="center"/>
      <protection/>
    </xf>
    <xf numFmtId="0" fontId="146" fillId="0" borderId="0" xfId="63" applyFont="1">
      <alignment/>
      <protection/>
    </xf>
    <xf numFmtId="0" fontId="173" fillId="0" borderId="0" xfId="59" applyFont="1" applyAlignment="1">
      <alignment vertical="center"/>
      <protection/>
    </xf>
    <xf numFmtId="0" fontId="174" fillId="0" borderId="0" xfId="59" applyFont="1" applyAlignment="1">
      <alignment horizontal="center" vertical="center"/>
      <protection/>
    </xf>
    <xf numFmtId="0" fontId="147" fillId="33" borderId="19" xfId="59" applyFont="1" applyFill="1" applyBorder="1" applyAlignment="1">
      <alignment horizontal="center" vertical="center"/>
      <protection/>
    </xf>
    <xf numFmtId="3" fontId="147" fillId="33" borderId="19" xfId="59" applyNumberFormat="1" applyFont="1" applyFill="1" applyBorder="1" applyAlignment="1">
      <alignment vertical="center"/>
      <protection/>
    </xf>
    <xf numFmtId="3" fontId="147" fillId="0" borderId="19" xfId="59" applyNumberFormat="1" applyFont="1" applyBorder="1" applyAlignment="1">
      <alignment vertical="center"/>
      <protection/>
    </xf>
    <xf numFmtId="3" fontId="146" fillId="0" borderId="19" xfId="59" applyNumberFormat="1" applyFont="1" applyBorder="1" applyAlignment="1">
      <alignment vertical="center"/>
      <protection/>
    </xf>
    <xf numFmtId="3" fontId="146" fillId="0" borderId="19" xfId="59" applyNumberFormat="1" applyFont="1" applyBorder="1" applyAlignment="1">
      <alignment horizontal="right" vertical="center"/>
      <protection/>
    </xf>
    <xf numFmtId="0" fontId="146" fillId="0" borderId="19" xfId="59" applyFont="1" applyBorder="1" applyAlignment="1" quotePrefix="1">
      <alignment horizontal="right" vertical="center"/>
      <protection/>
    </xf>
    <xf numFmtId="3" fontId="146" fillId="0" borderId="19" xfId="59" applyNumberFormat="1" applyFont="1" applyBorder="1" applyAlignment="1" quotePrefix="1">
      <alignment horizontal="right" vertical="center"/>
      <protection/>
    </xf>
    <xf numFmtId="3" fontId="147" fillId="0" borderId="0" xfId="59" applyNumberFormat="1" applyFont="1" applyAlignment="1">
      <alignment vertical="center"/>
      <protection/>
    </xf>
    <xf numFmtId="0" fontId="146" fillId="0" borderId="0" xfId="59" applyFont="1" applyAlignment="1">
      <alignment horizontal="left" vertical="center"/>
      <protection/>
    </xf>
    <xf numFmtId="3" fontId="146" fillId="0" borderId="19" xfId="54" applyNumberFormat="1" applyFont="1" applyBorder="1" applyAlignment="1">
      <alignment horizontal="right" vertical="center"/>
      <protection/>
    </xf>
    <xf numFmtId="0" fontId="146" fillId="0" borderId="0" xfId="54" applyFont="1" applyAlignment="1">
      <alignment horizontal="right" vertical="center"/>
      <protection/>
    </xf>
    <xf numFmtId="3" fontId="147" fillId="0" borderId="0" xfId="54" applyNumberFormat="1" applyFont="1" applyAlignment="1">
      <alignment vertical="center"/>
      <protection/>
    </xf>
    <xf numFmtId="0" fontId="146" fillId="0" borderId="0" xfId="0" applyFont="1" applyAlignment="1">
      <alignment vertical="center" wrapText="1"/>
    </xf>
    <xf numFmtId="0" fontId="147" fillId="33" borderId="19" xfId="0" applyFont="1" applyFill="1" applyBorder="1" applyAlignment="1">
      <alignment vertical="center"/>
    </xf>
    <xf numFmtId="3" fontId="146" fillId="0" borderId="19" xfId="61" applyNumberFormat="1" applyFont="1" applyBorder="1" applyAlignment="1">
      <alignment vertical="center"/>
      <protection/>
    </xf>
    <xf numFmtId="165" fontId="147" fillId="33" borderId="19" xfId="0" applyNumberFormat="1" applyFont="1" applyFill="1" applyBorder="1" applyAlignment="1">
      <alignment vertical="center"/>
    </xf>
    <xf numFmtId="0" fontId="146" fillId="0" borderId="19" xfId="0" applyFont="1" applyBorder="1" applyAlignment="1">
      <alignment horizontal="right" vertical="center"/>
    </xf>
    <xf numFmtId="3" fontId="147" fillId="33" borderId="19" xfId="0" applyNumberFormat="1" applyFont="1" applyFill="1" applyBorder="1" applyAlignment="1" applyProtection="1">
      <alignment horizontal="right" vertical="center"/>
      <protection locked="0"/>
    </xf>
    <xf numFmtId="3" fontId="147" fillId="33" borderId="19" xfId="0" applyNumberFormat="1" applyFont="1" applyFill="1" applyBorder="1" applyAlignment="1" applyProtection="1">
      <alignment horizontal="center" vertical="center"/>
      <protection locked="0"/>
    </xf>
    <xf numFmtId="3" fontId="0" fillId="33" borderId="19" xfId="0" applyNumberFormat="1" applyFont="1" applyFill="1" applyBorder="1" applyAlignment="1">
      <alignment horizontal="right" vertical="center"/>
    </xf>
    <xf numFmtId="3" fontId="0" fillId="33" borderId="19" xfId="0" applyNumberFormat="1" applyFill="1" applyBorder="1" applyAlignment="1">
      <alignment horizontal="right" vertical="center"/>
    </xf>
    <xf numFmtId="3" fontId="0" fillId="33" borderId="19" xfId="0" applyNumberFormat="1" applyFill="1" applyBorder="1" applyAlignment="1" applyProtection="1">
      <alignment horizontal="right" vertical="center"/>
      <protection locked="0"/>
    </xf>
    <xf numFmtId="3" fontId="131" fillId="33" borderId="19" xfId="0" applyNumberFormat="1" applyFont="1" applyFill="1" applyBorder="1" applyAlignment="1" applyProtection="1">
      <alignment horizontal="right" vertical="center"/>
      <protection locked="0"/>
    </xf>
    <xf numFmtId="3" fontId="0" fillId="33" borderId="19" xfId="0" applyNumberFormat="1" applyFont="1" applyFill="1" applyBorder="1" applyAlignment="1" applyProtection="1">
      <alignment horizontal="right" vertical="center"/>
      <protection locked="0"/>
    </xf>
    <xf numFmtId="3" fontId="146" fillId="33" borderId="19" xfId="0" applyNumberFormat="1" applyFont="1" applyFill="1" applyBorder="1" applyAlignment="1" applyProtection="1">
      <alignment horizontal="right" vertical="center"/>
      <protection locked="0"/>
    </xf>
    <xf numFmtId="3" fontId="0" fillId="33" borderId="19" xfId="0" applyNumberFormat="1" applyFont="1" applyFill="1" applyBorder="1" applyAlignment="1" quotePrefix="1">
      <alignment horizontal="right" vertical="center"/>
    </xf>
    <xf numFmtId="0" fontId="175" fillId="0" borderId="0" xfId="0" applyFont="1" applyAlignment="1">
      <alignment vertical="center"/>
    </xf>
    <xf numFmtId="3" fontId="146" fillId="33" borderId="19" xfId="54" applyNumberFormat="1" applyFont="1" applyFill="1" applyBorder="1" applyAlignment="1">
      <alignment horizontal="right" vertical="center"/>
      <protection/>
    </xf>
    <xf numFmtId="3" fontId="151" fillId="0" borderId="0" xfId="75" applyNumberFormat="1" applyFont="1" applyAlignment="1" quotePrefix="1">
      <alignment horizontal="right" vertical="center"/>
      <protection/>
    </xf>
    <xf numFmtId="1" fontId="0" fillId="0" borderId="19" xfId="54" applyNumberFormat="1" applyBorder="1" applyAlignment="1">
      <alignment horizontal="left" vertical="center" wrapText="1" indent="1"/>
      <protection/>
    </xf>
    <xf numFmtId="3" fontId="131" fillId="0" borderId="19" xfId="54" applyNumberFormat="1" applyFont="1" applyBorder="1" applyAlignment="1">
      <alignment horizontal="right" vertical="center"/>
      <protection/>
    </xf>
    <xf numFmtId="1" fontId="147" fillId="33" borderId="19" xfId="54" applyNumberFormat="1" applyFont="1" applyFill="1" applyBorder="1" applyAlignment="1">
      <alignment horizontal="center" vertical="center"/>
      <protection/>
    </xf>
    <xf numFmtId="3" fontId="146" fillId="0" borderId="19" xfId="54" applyNumberFormat="1" applyFont="1" applyBorder="1" applyAlignment="1" quotePrefix="1">
      <alignment horizontal="right" vertical="center"/>
      <protection/>
    </xf>
    <xf numFmtId="167" fontId="146" fillId="0" borderId="19" xfId="78" applyNumberFormat="1" applyFont="1" applyFill="1" applyBorder="1" applyAlignment="1">
      <alignment vertical="center"/>
    </xf>
    <xf numFmtId="167" fontId="147" fillId="33" borderId="19" xfId="54" applyNumberFormat="1" applyFont="1" applyFill="1" applyBorder="1" applyAlignment="1">
      <alignment vertical="center"/>
      <protection/>
    </xf>
    <xf numFmtId="3" fontId="146" fillId="0" borderId="0" xfId="72" applyNumberFormat="1" applyFont="1" applyAlignment="1">
      <alignment horizontal="right" vertical="center"/>
      <protection/>
    </xf>
    <xf numFmtId="0" fontId="148" fillId="0" borderId="0" xfId="68" applyFont="1" applyAlignment="1">
      <alignment vertical="center"/>
      <protection/>
    </xf>
    <xf numFmtId="0" fontId="147" fillId="33" borderId="19" xfId="67" applyFont="1" applyFill="1" applyBorder="1" applyAlignment="1">
      <alignment horizontal="center" vertical="center"/>
      <protection/>
    </xf>
    <xf numFmtId="3" fontId="146" fillId="0" borderId="13" xfId="0" applyNumberFormat="1" applyFont="1" applyBorder="1" applyAlignment="1">
      <alignment horizontal="right" vertical="center"/>
    </xf>
    <xf numFmtId="9" fontId="0" fillId="0" borderId="0" xfId="78" applyAlignment="1">
      <alignment horizontal="center" vertical="center"/>
    </xf>
    <xf numFmtId="3" fontId="176" fillId="33" borderId="19" xfId="0" applyNumberFormat="1" applyFont="1" applyFill="1" applyBorder="1" applyAlignment="1">
      <alignment vertical="center"/>
    </xf>
    <xf numFmtId="3" fontId="156" fillId="0" borderId="19" xfId="54" applyNumberFormat="1" applyFont="1" applyBorder="1" applyAlignment="1">
      <alignment horizontal="right" vertical="center"/>
      <protection/>
    </xf>
    <xf numFmtId="3" fontId="0" fillId="0" borderId="0" xfId="72" applyNumberFormat="1" applyFont="1" applyAlignment="1">
      <alignment horizontal="right" vertical="center"/>
      <protection/>
    </xf>
    <xf numFmtId="9" fontId="0" fillId="0" borderId="0" xfId="78" applyFont="1" applyAlignment="1">
      <alignment horizontal="center" vertical="center"/>
    </xf>
    <xf numFmtId="9" fontId="146" fillId="0" borderId="0" xfId="78" applyFont="1" applyAlignment="1">
      <alignment horizontal="center" vertical="center"/>
    </xf>
    <xf numFmtId="0" fontId="148" fillId="0" borderId="0" xfId="0" applyFont="1" applyAlignment="1">
      <alignment vertical="top"/>
    </xf>
    <xf numFmtId="10" fontId="0" fillId="0" borderId="0" xfId="78" applyNumberFormat="1" applyAlignment="1">
      <alignment vertical="center"/>
    </xf>
    <xf numFmtId="3" fontId="131" fillId="0" borderId="19" xfId="54" applyNumberFormat="1" applyFont="1" applyBorder="1" applyAlignment="1" applyProtection="1">
      <alignment vertical="center"/>
      <protection locked="0"/>
    </xf>
    <xf numFmtId="3" fontId="130" fillId="33" borderId="19" xfId="0" applyNumberFormat="1" applyFont="1" applyFill="1" applyBorder="1" applyAlignment="1">
      <alignment horizontal="center" vertical="center"/>
    </xf>
    <xf numFmtId="0" fontId="177" fillId="0" borderId="0" xfId="0" applyFont="1" applyAlignment="1">
      <alignment vertical="center"/>
    </xf>
    <xf numFmtId="3" fontId="131" fillId="0" borderId="0" xfId="0" applyNumberFormat="1" applyFont="1" applyAlignment="1">
      <alignment vertical="center"/>
    </xf>
    <xf numFmtId="3" fontId="130" fillId="0" borderId="0" xfId="0" applyNumberFormat="1" applyFont="1" applyAlignment="1">
      <alignment vertical="center"/>
    </xf>
    <xf numFmtId="3" fontId="146" fillId="0" borderId="19" xfId="59" applyNumberFormat="1" applyFont="1" applyBorder="1" applyAlignment="1">
      <alignment horizontal="right" vertical="center"/>
      <protection/>
    </xf>
    <xf numFmtId="0" fontId="146" fillId="0" borderId="19" xfId="59" applyFont="1" applyBorder="1" applyAlignment="1" quotePrefix="1">
      <alignment horizontal="right" vertical="center"/>
      <protection/>
    </xf>
    <xf numFmtId="3" fontId="145" fillId="0" borderId="19" xfId="59" applyNumberFormat="1" applyFont="1" applyBorder="1" applyAlignment="1" quotePrefix="1">
      <alignment horizontal="right" vertical="center"/>
      <protection/>
    </xf>
    <xf numFmtId="0" fontId="9" fillId="0" borderId="0" xfId="54" applyFont="1">
      <alignment/>
      <protection/>
    </xf>
    <xf numFmtId="0" fontId="146" fillId="0" borderId="0" xfId="54" applyFont="1">
      <alignment/>
      <protection/>
    </xf>
    <xf numFmtId="0" fontId="4" fillId="0" borderId="0" xfId="54" applyFont="1">
      <alignment/>
      <protection/>
    </xf>
    <xf numFmtId="165" fontId="4" fillId="0" borderId="19" xfId="54" applyNumberFormat="1" applyFont="1" applyBorder="1" applyAlignment="1">
      <alignment vertical="center"/>
      <protection/>
    </xf>
    <xf numFmtId="165" fontId="0" fillId="0" borderId="19" xfId="54" applyNumberFormat="1" applyBorder="1" applyAlignment="1">
      <alignment horizontal="left" vertical="center" indent="1"/>
      <protection/>
    </xf>
    <xf numFmtId="0" fontId="178" fillId="0" borderId="0" xfId="54" applyFont="1" applyAlignment="1">
      <alignment horizontal="center" vertical="center"/>
      <protection/>
    </xf>
    <xf numFmtId="0" fontId="156" fillId="0" borderId="0" xfId="54" applyFont="1" applyAlignment="1">
      <alignment horizontal="center" vertical="center"/>
      <protection/>
    </xf>
    <xf numFmtId="0" fontId="156" fillId="0" borderId="0" xfId="54" applyFont="1">
      <alignment/>
      <protection/>
    </xf>
    <xf numFmtId="0" fontId="178" fillId="0" borderId="0" xfId="54" applyFont="1" applyAlignment="1">
      <alignment vertical="center"/>
      <protection/>
    </xf>
    <xf numFmtId="0" fontId="156" fillId="0" borderId="0" xfId="54" applyFont="1" applyAlignment="1">
      <alignment vertical="center"/>
      <protection/>
    </xf>
    <xf numFmtId="0" fontId="176" fillId="33" borderId="19" xfId="54" applyFont="1" applyFill="1" applyBorder="1" applyAlignment="1">
      <alignment horizontal="center" vertical="center"/>
      <protection/>
    </xf>
    <xf numFmtId="165" fontId="0" fillId="0" borderId="19" xfId="54" applyNumberFormat="1" applyBorder="1" applyAlignment="1">
      <alignment horizontal="left" vertical="center"/>
      <protection/>
    </xf>
    <xf numFmtId="3" fontId="156" fillId="0" borderId="19" xfId="54" applyNumberFormat="1" applyFont="1" applyBorder="1" applyAlignment="1">
      <alignment horizontal="center" vertical="center"/>
      <protection/>
    </xf>
    <xf numFmtId="0" fontId="179" fillId="0" borderId="0" xfId="54" applyFont="1" applyAlignment="1">
      <alignment vertical="center"/>
      <protection/>
    </xf>
    <xf numFmtId="0" fontId="180" fillId="0" borderId="0" xfId="54" applyFont="1" applyAlignment="1">
      <alignment horizontal="center" vertical="center"/>
      <protection/>
    </xf>
    <xf numFmtId="0" fontId="180" fillId="0" borderId="0" xfId="54" applyFont="1">
      <alignment/>
      <protection/>
    </xf>
    <xf numFmtId="165" fontId="0" fillId="0" borderId="0" xfId="54" applyNumberFormat="1" applyAlignment="1">
      <alignment horizontal="left" vertical="center" indent="1"/>
      <protection/>
    </xf>
    <xf numFmtId="3" fontId="0" fillId="0" borderId="0" xfId="54" applyNumberFormat="1" applyAlignment="1">
      <alignment horizontal="center" vertical="center"/>
      <protection/>
    </xf>
    <xf numFmtId="3" fontId="146" fillId="0" borderId="0" xfId="54" applyNumberFormat="1" applyFont="1" applyAlignment="1">
      <alignment horizontal="center" vertical="center"/>
      <protection/>
    </xf>
    <xf numFmtId="3" fontId="178" fillId="0" borderId="0" xfId="54" applyNumberFormat="1" applyFont="1" applyAlignment="1">
      <alignment horizontal="center" vertical="center"/>
      <protection/>
    </xf>
    <xf numFmtId="3" fontId="156" fillId="0" borderId="0" xfId="54" applyNumberFormat="1" applyFont="1" applyAlignment="1">
      <alignment horizontal="center" vertical="center"/>
      <protection/>
    </xf>
    <xf numFmtId="0" fontId="0" fillId="0" borderId="0" xfId="54" applyAlignment="1">
      <alignment horizontal="left" vertical="center" wrapText="1"/>
      <protection/>
    </xf>
    <xf numFmtId="0" fontId="181" fillId="0" borderId="0" xfId="54" applyFont="1" applyAlignment="1">
      <alignment vertical="center"/>
      <protection/>
    </xf>
    <xf numFmtId="0" fontId="182" fillId="0" borderId="0" xfId="54" applyFont="1" applyAlignment="1">
      <alignment vertical="center"/>
      <protection/>
    </xf>
    <xf numFmtId="0" fontId="178" fillId="0" borderId="0" xfId="54" applyFont="1">
      <alignment/>
      <protection/>
    </xf>
    <xf numFmtId="0" fontId="176" fillId="0" borderId="0" xfId="73" applyFont="1" applyAlignment="1">
      <alignment horizontal="center" vertical="center"/>
      <protection/>
    </xf>
    <xf numFmtId="3" fontId="176" fillId="0" borderId="0" xfId="73" applyNumberFormat="1" applyFont="1" applyAlignment="1">
      <alignment vertical="center"/>
      <protection/>
    </xf>
    <xf numFmtId="3" fontId="176" fillId="0" borderId="0" xfId="49" applyNumberFormat="1" applyFont="1" applyAlignment="1">
      <alignment vertical="center"/>
    </xf>
    <xf numFmtId="3" fontId="176" fillId="0" borderId="0" xfId="49" applyNumberFormat="1" applyFont="1" applyAlignment="1" quotePrefix="1">
      <alignment horizontal="right" vertical="center"/>
    </xf>
    <xf numFmtId="3" fontId="176" fillId="0" borderId="0" xfId="49" applyNumberFormat="1" applyFont="1" applyAlignment="1">
      <alignment horizontal="right" vertical="center"/>
    </xf>
    <xf numFmtId="0" fontId="176" fillId="0" borderId="0" xfId="73" applyFont="1" applyAlignment="1">
      <alignment vertical="center"/>
      <protection/>
    </xf>
    <xf numFmtId="3" fontId="156" fillId="0" borderId="0" xfId="73" applyNumberFormat="1" applyFont="1" applyAlignment="1">
      <alignment vertical="center"/>
      <protection/>
    </xf>
    <xf numFmtId="0" fontId="156" fillId="0" borderId="0" xfId="73" applyFont="1" applyAlignment="1">
      <alignment vertical="center"/>
      <protection/>
    </xf>
    <xf numFmtId="3" fontId="156" fillId="0" borderId="0" xfId="49" applyNumberFormat="1" applyFont="1" applyAlignment="1">
      <alignment horizontal="right" vertical="center"/>
    </xf>
    <xf numFmtId="3" fontId="183" fillId="0" borderId="0" xfId="49" applyNumberFormat="1" applyFont="1" applyAlignment="1">
      <alignment horizontal="left" vertical="center"/>
    </xf>
    <xf numFmtId="3" fontId="156" fillId="0" borderId="0" xfId="49" applyNumberFormat="1" applyFont="1" applyAlignment="1">
      <alignment vertical="center"/>
    </xf>
    <xf numFmtId="3" fontId="176" fillId="0" borderId="0" xfId="49" applyNumberFormat="1" applyFont="1" applyAlignment="1">
      <alignment horizontal="center" vertical="center"/>
    </xf>
    <xf numFmtId="3" fontId="158" fillId="0" borderId="19" xfId="54" applyNumberFormat="1" applyFont="1" applyBorder="1" applyAlignment="1">
      <alignment horizontal="right" vertical="center"/>
      <protection/>
    </xf>
    <xf numFmtId="3" fontId="176" fillId="33" borderId="19" xfId="54" applyNumberFormat="1" applyFont="1" applyFill="1" applyBorder="1" applyAlignment="1">
      <alignment horizontal="right" vertical="center"/>
      <protection/>
    </xf>
    <xf numFmtId="0" fontId="176" fillId="34" borderId="19" xfId="0" applyFont="1" applyFill="1" applyBorder="1" applyAlignment="1">
      <alignment horizontal="center" vertical="center"/>
    </xf>
    <xf numFmtId="3" fontId="176" fillId="34" borderId="19" xfId="0" applyNumberFormat="1" applyFont="1" applyFill="1" applyBorder="1" applyAlignment="1">
      <alignment horizontal="right" vertical="center"/>
    </xf>
    <xf numFmtId="3" fontId="156" fillId="0" borderId="19" xfId="0" applyNumberFormat="1" applyFont="1" applyBorder="1" applyAlignment="1">
      <alignment horizontal="right" vertical="center"/>
    </xf>
    <xf numFmtId="0" fontId="176" fillId="0" borderId="0" xfId="54" applyFont="1" applyAlignment="1">
      <alignment vertical="center"/>
      <protection/>
    </xf>
    <xf numFmtId="3" fontId="0" fillId="0" borderId="19" xfId="54" applyNumberFormat="1" applyFont="1" applyBorder="1" applyAlignment="1" quotePrefix="1">
      <alignment horizontal="right" vertical="center"/>
      <protection/>
    </xf>
    <xf numFmtId="3" fontId="0" fillId="0" borderId="19" xfId="54" applyNumberFormat="1" applyFont="1" applyBorder="1" applyAlignment="1">
      <alignment vertical="center"/>
      <protection/>
    </xf>
    <xf numFmtId="3" fontId="0" fillId="0" borderId="19" xfId="54" applyNumberFormat="1" applyFont="1" applyBorder="1" applyAlignment="1">
      <alignment horizontal="right" vertical="center"/>
      <protection/>
    </xf>
    <xf numFmtId="3" fontId="0" fillId="0" borderId="0" xfId="75" applyNumberFormat="1" applyFont="1" applyAlignment="1" quotePrefix="1">
      <alignment horizontal="right" vertical="center"/>
      <protection/>
    </xf>
    <xf numFmtId="0" fontId="0" fillId="0" borderId="0" xfId="54" applyAlignment="1">
      <alignment vertical="center"/>
      <protection/>
    </xf>
    <xf numFmtId="0" fontId="184" fillId="33" borderId="19" xfId="54" applyFont="1" applyFill="1" applyBorder="1" applyAlignment="1">
      <alignment horizontal="center" vertical="center"/>
      <protection/>
    </xf>
    <xf numFmtId="3" fontId="184" fillId="33" borderId="19" xfId="54" applyNumberFormat="1" applyFont="1" applyFill="1" applyBorder="1" applyAlignment="1">
      <alignment vertical="center"/>
      <protection/>
    </xf>
    <xf numFmtId="167" fontId="184" fillId="33" borderId="19" xfId="78" applyNumberFormat="1" applyFont="1" applyFill="1" applyBorder="1" applyAlignment="1">
      <alignment vertical="center"/>
    </xf>
    <xf numFmtId="3" fontId="185" fillId="0" borderId="19" xfId="54" applyNumberFormat="1" applyFont="1" applyBorder="1" applyAlignment="1">
      <alignment vertical="center"/>
      <protection/>
    </xf>
    <xf numFmtId="167" fontId="185" fillId="0" borderId="19" xfId="78" applyNumberFormat="1" applyFont="1" applyBorder="1" applyAlignment="1">
      <alignment vertical="center"/>
    </xf>
    <xf numFmtId="0" fontId="0" fillId="0" borderId="0" xfId="71" applyFont="1" applyAlignment="1">
      <alignment horizontal="left" vertical="center" indent="1"/>
      <protection/>
    </xf>
    <xf numFmtId="3" fontId="0" fillId="0" borderId="0" xfId="71" applyNumberFormat="1" applyFont="1" applyAlignment="1">
      <alignment vertical="center"/>
      <protection/>
    </xf>
    <xf numFmtId="0" fontId="0" fillId="0" borderId="0" xfId="54" applyAlignment="1">
      <alignment vertical="center"/>
      <protection/>
    </xf>
    <xf numFmtId="0" fontId="0" fillId="0" borderId="0" xfId="54">
      <alignment/>
      <protection/>
    </xf>
    <xf numFmtId="0" fontId="0" fillId="0" borderId="0" xfId="73" applyFont="1" applyAlignment="1">
      <alignment horizontal="center" vertical="center"/>
      <protection/>
    </xf>
    <xf numFmtId="0" fontId="184" fillId="33" borderId="19" xfId="0" applyFont="1" applyFill="1" applyBorder="1" applyAlignment="1">
      <alignment horizontal="center" vertical="center"/>
    </xf>
    <xf numFmtId="3" fontId="184" fillId="33" borderId="19" xfId="0" applyNumberFormat="1" applyFont="1" applyFill="1" applyBorder="1" applyAlignment="1" quotePrefix="1">
      <alignment horizontal="right" vertical="center"/>
    </xf>
    <xf numFmtId="3" fontId="185" fillId="0" borderId="18" xfId="0" applyNumberFormat="1" applyFont="1" applyBorder="1" applyAlignment="1">
      <alignment vertical="center"/>
    </xf>
    <xf numFmtId="167" fontId="185" fillId="0" borderId="19" xfId="78" applyNumberFormat="1" applyFont="1" applyBorder="1" applyAlignment="1">
      <alignment vertical="center"/>
    </xf>
    <xf numFmtId="3" fontId="185" fillId="0" borderId="19" xfId="0" applyNumberFormat="1" applyFont="1" applyBorder="1" applyAlignment="1">
      <alignment vertical="center"/>
    </xf>
    <xf numFmtId="3" fontId="185" fillId="0" borderId="19" xfId="78" applyNumberFormat="1" applyFont="1" applyFill="1" applyBorder="1" applyAlignment="1" quotePrefix="1">
      <alignment horizontal="right" vertical="center"/>
    </xf>
    <xf numFmtId="167" fontId="185" fillId="0" borderId="19" xfId="78" applyNumberFormat="1" applyFont="1" applyFill="1" applyBorder="1" applyAlignment="1" quotePrefix="1">
      <alignment horizontal="right" vertical="center"/>
    </xf>
    <xf numFmtId="3" fontId="0" fillId="0" borderId="19" xfId="54" applyNumberFormat="1" applyFont="1" applyBorder="1" applyAlignment="1">
      <alignment horizontal="right" vertical="center"/>
      <protection/>
    </xf>
    <xf numFmtId="0" fontId="0" fillId="0" borderId="0" xfId="54" applyAlignment="1">
      <alignment vertical="center"/>
      <protection/>
    </xf>
    <xf numFmtId="0" fontId="0" fillId="0" borderId="0" xfId="54" applyAlignment="1">
      <alignment vertical="center"/>
      <protection/>
    </xf>
    <xf numFmtId="0" fontId="0" fillId="0" borderId="0" xfId="54" applyAlignment="1">
      <alignment vertical="center"/>
      <protection/>
    </xf>
    <xf numFmtId="0" fontId="0" fillId="0" borderId="0" xfId="54" applyAlignment="1">
      <alignment vertical="center"/>
      <protection/>
    </xf>
    <xf numFmtId="0" fontId="0" fillId="0" borderId="0" xfId="54" applyAlignment="1">
      <alignment horizontal="center" vertical="center"/>
      <protection/>
    </xf>
    <xf numFmtId="3" fontId="0" fillId="0" borderId="19" xfId="59" applyNumberFormat="1" applyFont="1" applyBorder="1" applyAlignment="1">
      <alignment horizontal="right" vertical="center"/>
      <protection/>
    </xf>
    <xf numFmtId="0" fontId="0" fillId="0" borderId="19" xfId="59" applyFont="1" applyBorder="1" applyAlignment="1" quotePrefix="1">
      <alignment horizontal="right" vertical="center"/>
      <protection/>
    </xf>
    <xf numFmtId="3" fontId="0" fillId="0" borderId="19" xfId="54" applyNumberFormat="1" applyFont="1" applyBorder="1" applyAlignment="1" quotePrefix="1">
      <alignment horizontal="right" vertical="center"/>
      <protection/>
    </xf>
    <xf numFmtId="0" fontId="0" fillId="0" borderId="0" xfId="0" applyAlignment="1">
      <alignment/>
    </xf>
    <xf numFmtId="0" fontId="6" fillId="0" borderId="0" xfId="0" applyFont="1" applyAlignment="1">
      <alignment vertical="center" wrapText="1"/>
    </xf>
    <xf numFmtId="3" fontId="0" fillId="0" borderId="12" xfId="54" applyNumberFormat="1" applyFont="1" applyBorder="1" applyAlignment="1" applyProtection="1">
      <alignment vertical="center"/>
      <protection locked="0"/>
    </xf>
    <xf numFmtId="170" fontId="0" fillId="0" borderId="12" xfId="54" applyNumberFormat="1" applyFont="1" applyBorder="1" applyAlignment="1" applyProtection="1">
      <alignment vertical="center"/>
      <protection locked="0"/>
    </xf>
    <xf numFmtId="9" fontId="0" fillId="0" borderId="12" xfId="54" applyNumberFormat="1" applyFont="1" applyBorder="1" applyAlignment="1" applyProtection="1">
      <alignment horizontal="right" vertical="center"/>
      <protection locked="0"/>
    </xf>
    <xf numFmtId="9" fontId="0" fillId="0" borderId="12" xfId="54" applyNumberFormat="1" applyFont="1" applyBorder="1" applyAlignment="1" applyProtection="1">
      <alignment vertical="center"/>
      <protection locked="0"/>
    </xf>
    <xf numFmtId="3" fontId="0" fillId="0" borderId="12" xfId="54" applyNumberFormat="1" applyFont="1" applyBorder="1" applyAlignment="1" applyProtection="1" quotePrefix="1">
      <alignment horizontal="right" vertical="center"/>
      <protection locked="0"/>
    </xf>
    <xf numFmtId="170" fontId="0" fillId="2" borderId="12" xfId="54" applyNumberFormat="1" applyFont="1" applyFill="1" applyBorder="1" applyAlignment="1" applyProtection="1">
      <alignment vertical="center"/>
      <protection locked="0"/>
    </xf>
    <xf numFmtId="4" fontId="0" fillId="0" borderId="12" xfId="54" applyNumberFormat="1" applyFont="1" applyBorder="1" applyAlignment="1" applyProtection="1">
      <alignment horizontal="right" vertical="center"/>
      <protection locked="0"/>
    </xf>
    <xf numFmtId="170" fontId="0" fillId="33" borderId="12" xfId="54" applyNumberFormat="1" applyFont="1" applyFill="1" applyBorder="1" applyAlignment="1" applyProtection="1">
      <alignment vertical="center"/>
      <protection locked="0"/>
    </xf>
    <xf numFmtId="1" fontId="0" fillId="0" borderId="12" xfId="54" applyNumberFormat="1" applyFont="1" applyBorder="1" applyAlignment="1" applyProtection="1">
      <alignment horizontal="right" vertical="center"/>
      <protection locked="0"/>
    </xf>
    <xf numFmtId="4" fontId="0" fillId="0" borderId="12" xfId="54" applyNumberFormat="1" applyFont="1" applyBorder="1" applyAlignment="1" applyProtection="1">
      <alignment vertical="center"/>
      <protection locked="0"/>
    </xf>
    <xf numFmtId="3" fontId="0" fillId="0" borderId="12" xfId="64" applyNumberFormat="1" applyFont="1" applyBorder="1" applyAlignment="1" quotePrefix="1">
      <alignment horizontal="right" vertical="center"/>
      <protection/>
    </xf>
    <xf numFmtId="3" fontId="0" fillId="0" borderId="19" xfId="65" applyNumberFormat="1" applyFont="1" applyBorder="1" applyAlignment="1">
      <alignment horizontal="right" vertical="center"/>
      <protection/>
    </xf>
    <xf numFmtId="0" fontId="0" fillId="0" borderId="12" xfId="54" applyFont="1" applyBorder="1" applyAlignment="1" applyProtection="1">
      <alignment vertical="center"/>
      <protection locked="0"/>
    </xf>
    <xf numFmtId="170" fontId="0" fillId="0" borderId="12" xfId="54" applyNumberFormat="1" applyFont="1" applyBorder="1" applyAlignment="1" applyProtection="1">
      <alignment horizontal="right" vertical="center"/>
      <protection locked="0"/>
    </xf>
    <xf numFmtId="3" fontId="0" fillId="41" borderId="19" xfId="54" applyNumberFormat="1" applyFont="1" applyFill="1" applyBorder="1" applyAlignment="1">
      <alignment horizontal="right" vertical="center"/>
      <protection/>
    </xf>
    <xf numFmtId="170" fontId="0" fillId="41" borderId="24" xfId="54" applyNumberFormat="1" applyFont="1" applyFill="1" applyBorder="1" applyAlignment="1">
      <alignment horizontal="right" vertical="center"/>
      <protection/>
    </xf>
    <xf numFmtId="3" fontId="0" fillId="0" borderId="12" xfId="54" applyNumberFormat="1" applyFont="1" applyBorder="1" applyAlignment="1" applyProtection="1">
      <alignment horizontal="right" vertical="center"/>
      <protection locked="0"/>
    </xf>
    <xf numFmtId="3" fontId="0" fillId="0" borderId="19" xfId="66" applyNumberFormat="1" applyFont="1" applyBorder="1" applyAlignment="1" quotePrefix="1">
      <alignment horizontal="right" vertical="center"/>
      <protection/>
    </xf>
    <xf numFmtId="171" fontId="0" fillId="0" borderId="12" xfId="54" applyNumberFormat="1" applyFont="1" applyBorder="1" applyAlignment="1" applyProtection="1">
      <alignment vertical="center"/>
      <protection locked="0"/>
    </xf>
    <xf numFmtId="3" fontId="0" fillId="0" borderId="19" xfId="66" applyNumberFormat="1" applyFont="1" applyBorder="1" applyAlignment="1">
      <alignment horizontal="right" vertical="center"/>
      <protection/>
    </xf>
    <xf numFmtId="3" fontId="0" fillId="0" borderId="12" xfId="66" applyNumberFormat="1" applyFont="1" applyBorder="1" applyAlignment="1">
      <alignment horizontal="right" vertical="center"/>
      <protection/>
    </xf>
    <xf numFmtId="0" fontId="0" fillId="0" borderId="12" xfId="54" applyFont="1" applyBorder="1" applyAlignment="1" applyProtection="1">
      <alignment horizontal="right" vertical="center"/>
      <protection locked="0"/>
    </xf>
    <xf numFmtId="3" fontId="0" fillId="0" borderId="19" xfId="54" applyNumberFormat="1" applyFont="1" applyBorder="1" applyAlignment="1">
      <alignment horizontal="center" vertical="center"/>
      <protection/>
    </xf>
    <xf numFmtId="3" fontId="0" fillId="0" borderId="19" xfId="54" applyNumberFormat="1" applyFont="1" applyBorder="1" applyAlignment="1" quotePrefix="1">
      <alignment horizontal="center" vertical="center"/>
      <protection/>
    </xf>
    <xf numFmtId="168" fontId="0" fillId="33" borderId="19" xfId="54" applyNumberFormat="1" applyFont="1" applyFill="1" applyBorder="1" applyAlignment="1">
      <alignment horizontal="center" vertical="center"/>
      <protection/>
    </xf>
    <xf numFmtId="0" fontId="0" fillId="33" borderId="19" xfId="54" applyFont="1" applyFill="1" applyBorder="1" applyAlignment="1">
      <alignment horizontal="center" vertical="center" wrapText="1"/>
      <protection/>
    </xf>
    <xf numFmtId="3" fontId="0" fillId="0" borderId="12" xfId="54" applyNumberFormat="1" applyFont="1" applyFill="1" applyBorder="1" applyAlignment="1" applyProtection="1">
      <alignment horizontal="right" vertical="center"/>
      <protection locked="0"/>
    </xf>
    <xf numFmtId="170" fontId="0" fillId="0" borderId="12" xfId="54" applyNumberFormat="1" applyFont="1" applyFill="1" applyBorder="1" applyAlignment="1" applyProtection="1">
      <alignment horizontal="right" vertical="center"/>
      <protection locked="0"/>
    </xf>
    <xf numFmtId="0" fontId="146" fillId="0" borderId="0" xfId="0" applyFont="1" applyAlignment="1">
      <alignment/>
    </xf>
    <xf numFmtId="0" fontId="0" fillId="0" borderId="0" xfId="0" applyAlignment="1">
      <alignment/>
    </xf>
    <xf numFmtId="0" fontId="157" fillId="33" borderId="0" xfId="0" applyFont="1" applyFill="1" applyAlignment="1">
      <alignment horizontal="center" vertical="center"/>
    </xf>
    <xf numFmtId="0" fontId="170" fillId="0" borderId="0" xfId="0" applyFont="1" applyAlignment="1">
      <alignment horizontal="right" vertical="center"/>
    </xf>
    <xf numFmtId="0" fontId="146" fillId="0" borderId="0" xfId="0" applyFont="1" applyAlignment="1">
      <alignment/>
    </xf>
    <xf numFmtId="0" fontId="0" fillId="0" borderId="0" xfId="0" applyAlignment="1">
      <alignment horizontal="center"/>
    </xf>
    <xf numFmtId="0" fontId="3" fillId="0" borderId="0" xfId="0" applyFont="1" applyAlignment="1">
      <alignment horizontal="center" vertical="center"/>
    </xf>
    <xf numFmtId="0" fontId="0" fillId="0" borderId="0" xfId="0" applyAlignment="1">
      <alignment vertical="center"/>
    </xf>
    <xf numFmtId="0" fontId="149" fillId="0" borderId="0" xfId="0" applyFont="1" applyAlignment="1">
      <alignment horizontal="center" vertical="center"/>
    </xf>
    <xf numFmtId="0" fontId="146" fillId="0" borderId="0" xfId="0" applyFont="1" applyAlignment="1">
      <alignment vertical="center"/>
    </xf>
    <xf numFmtId="0" fontId="0" fillId="0" borderId="0" xfId="0" applyFont="1" applyAlignment="1">
      <alignment horizontal="center"/>
    </xf>
    <xf numFmtId="0" fontId="0" fillId="0" borderId="0" xfId="0" applyAlignment="1">
      <alignment/>
    </xf>
    <xf numFmtId="0" fontId="0" fillId="0" borderId="0" xfId="54" applyAlignment="1">
      <alignment horizontal="center"/>
      <protection/>
    </xf>
    <xf numFmtId="0" fontId="3" fillId="0" borderId="0" xfId="54" applyFont="1" applyAlignment="1">
      <alignment horizontal="center" vertical="center"/>
      <protection/>
    </xf>
    <xf numFmtId="0" fontId="149" fillId="0" borderId="0" xfId="54" applyFont="1" applyAlignment="1">
      <alignment horizontal="center" vertical="center"/>
      <protection/>
    </xf>
    <xf numFmtId="0" fontId="170" fillId="0" borderId="0" xfId="54" applyFont="1" applyAlignment="1">
      <alignment horizontal="right" vertical="center"/>
      <protection/>
    </xf>
    <xf numFmtId="3" fontId="170" fillId="0" borderId="0" xfId="0" applyNumberFormat="1" applyFont="1" applyAlignment="1">
      <alignment horizontal="right" vertical="center"/>
    </xf>
    <xf numFmtId="3" fontId="3" fillId="0" borderId="0" xfId="0" applyNumberFormat="1" applyFont="1" applyAlignment="1">
      <alignment horizontal="center" vertical="center" wrapText="1"/>
    </xf>
    <xf numFmtId="3" fontId="149" fillId="0" borderId="0" xfId="0" applyNumberFormat="1" applyFont="1" applyAlignment="1">
      <alignment horizontal="center" vertical="center"/>
    </xf>
    <xf numFmtId="3" fontId="3" fillId="0" borderId="0" xfId="54" applyNumberFormat="1" applyFont="1" applyAlignment="1">
      <alignment horizontal="center" vertical="center" wrapText="1"/>
      <protection/>
    </xf>
    <xf numFmtId="0" fontId="0" fillId="0" borderId="0" xfId="54" applyAlignment="1">
      <alignment vertical="center"/>
      <protection/>
    </xf>
    <xf numFmtId="3" fontId="149" fillId="0" borderId="0" xfId="54" applyNumberFormat="1" applyFont="1" applyAlignment="1">
      <alignment horizontal="center" vertical="center"/>
      <protection/>
    </xf>
    <xf numFmtId="0" fontId="146" fillId="0" borderId="0" xfId="54" applyFont="1" applyAlignment="1">
      <alignment vertical="center"/>
      <protection/>
    </xf>
    <xf numFmtId="3" fontId="170" fillId="0" borderId="0" xfId="54" applyNumberFormat="1" applyFont="1" applyAlignment="1">
      <alignment horizontal="right" vertical="center"/>
      <protection/>
    </xf>
    <xf numFmtId="0" fontId="4" fillId="33" borderId="36" xfId="54" applyFont="1" applyFill="1" applyBorder="1" applyAlignment="1">
      <alignment horizontal="center" vertical="center"/>
      <protection/>
    </xf>
    <xf numFmtId="0" fontId="4" fillId="33" borderId="37" xfId="54" applyFont="1" applyFill="1" applyBorder="1" applyAlignment="1">
      <alignment horizontal="center" vertical="center"/>
      <protection/>
    </xf>
    <xf numFmtId="0" fontId="4" fillId="33" borderId="38" xfId="54" applyFont="1" applyFill="1" applyBorder="1" applyAlignment="1">
      <alignment horizontal="center" vertical="center"/>
      <protection/>
    </xf>
    <xf numFmtId="3" fontId="147" fillId="33" borderId="39" xfId="54" applyNumberFormat="1" applyFont="1" applyFill="1" applyBorder="1" applyAlignment="1">
      <alignment horizontal="center" vertical="center"/>
      <protection/>
    </xf>
    <xf numFmtId="3" fontId="147" fillId="33" borderId="40" xfId="54" applyNumberFormat="1" applyFont="1" applyFill="1" applyBorder="1" applyAlignment="1">
      <alignment horizontal="center" vertical="center"/>
      <protection/>
    </xf>
    <xf numFmtId="3" fontId="147" fillId="33" borderId="41" xfId="54" applyNumberFormat="1" applyFont="1" applyFill="1" applyBorder="1" applyAlignment="1">
      <alignment horizontal="center" vertical="center"/>
      <protection/>
    </xf>
    <xf numFmtId="0" fontId="147" fillId="33" borderId="39" xfId="54" applyFont="1" applyFill="1" applyBorder="1" applyAlignment="1">
      <alignment horizontal="center" vertical="center"/>
      <protection/>
    </xf>
    <xf numFmtId="0" fontId="147" fillId="33" borderId="40" xfId="54" applyFont="1" applyFill="1" applyBorder="1" applyAlignment="1">
      <alignment horizontal="center" vertical="center"/>
      <protection/>
    </xf>
    <xf numFmtId="0" fontId="147" fillId="33" borderId="41" xfId="54" applyFont="1" applyFill="1" applyBorder="1" applyAlignment="1">
      <alignment horizontal="center" vertical="center"/>
      <protection/>
    </xf>
    <xf numFmtId="0" fontId="24" fillId="0" borderId="0" xfId="54" applyFont="1" applyAlignment="1">
      <alignment horizontal="left" vertical="center" wrapText="1"/>
      <protection/>
    </xf>
    <xf numFmtId="0" fontId="21" fillId="0" borderId="0" xfId="54" applyFont="1" applyAlignment="1">
      <alignment horizontal="left" vertical="center" wrapText="1"/>
      <protection/>
    </xf>
    <xf numFmtId="0" fontId="4" fillId="0" borderId="0" xfId="54" applyFont="1" applyAlignment="1">
      <alignment horizontal="center" vertical="center"/>
      <protection/>
    </xf>
    <xf numFmtId="0" fontId="147" fillId="33" borderId="19" xfId="54" applyFont="1" applyFill="1" applyBorder="1" applyAlignment="1">
      <alignment horizontal="center" vertical="center"/>
      <protection/>
    </xf>
    <xf numFmtId="0" fontId="147" fillId="33" borderId="27" xfId="54" applyFont="1" applyFill="1" applyBorder="1" applyAlignment="1">
      <alignment horizontal="center" vertical="center"/>
      <protection/>
    </xf>
    <xf numFmtId="1" fontId="4" fillId="33" borderId="18" xfId="54" applyNumberFormat="1" applyFont="1" applyFill="1" applyBorder="1" applyAlignment="1">
      <alignment horizontal="center" vertical="center" wrapText="1"/>
      <protection/>
    </xf>
    <xf numFmtId="1" fontId="4" fillId="33" borderId="13" xfId="54" applyNumberFormat="1" applyFont="1" applyFill="1" applyBorder="1" applyAlignment="1">
      <alignment horizontal="center" vertical="center" wrapText="1"/>
      <protection/>
    </xf>
    <xf numFmtId="1" fontId="4" fillId="33" borderId="42" xfId="54" applyNumberFormat="1" applyFont="1" applyFill="1" applyBorder="1" applyAlignment="1">
      <alignment horizontal="center" vertical="center" wrapText="1"/>
      <protection/>
    </xf>
    <xf numFmtId="1" fontId="4" fillId="33" borderId="43" xfId="54" applyNumberFormat="1" applyFont="1" applyFill="1" applyBorder="1" applyAlignment="1">
      <alignment horizontal="center" vertical="center" wrapText="1"/>
      <protection/>
    </xf>
    <xf numFmtId="1" fontId="4" fillId="33" borderId="28" xfId="54" applyNumberFormat="1" applyFont="1" applyFill="1" applyBorder="1" applyAlignment="1">
      <alignment horizontal="center" vertical="center" wrapText="1"/>
      <protection/>
    </xf>
    <xf numFmtId="1" fontId="4" fillId="33" borderId="19" xfId="54" applyNumberFormat="1" applyFont="1" applyFill="1" applyBorder="1" applyAlignment="1">
      <alignment horizontal="center" vertical="center" wrapText="1"/>
      <protection/>
    </xf>
    <xf numFmtId="1" fontId="4" fillId="33" borderId="36" xfId="54" applyNumberFormat="1" applyFont="1" applyFill="1" applyBorder="1" applyAlignment="1">
      <alignment horizontal="center" vertical="center" wrapText="1"/>
      <protection/>
    </xf>
    <xf numFmtId="1" fontId="4" fillId="33" borderId="37" xfId="54" applyNumberFormat="1" applyFont="1" applyFill="1" applyBorder="1" applyAlignment="1">
      <alignment horizontal="center" vertical="center" wrapText="1"/>
      <protection/>
    </xf>
    <xf numFmtId="1" fontId="4" fillId="33" borderId="38" xfId="54" applyNumberFormat="1" applyFont="1" applyFill="1" applyBorder="1" applyAlignment="1">
      <alignment horizontal="center" vertical="center" wrapText="1"/>
      <protection/>
    </xf>
    <xf numFmtId="0" fontId="4" fillId="33" borderId="44" xfId="54" applyFont="1" applyFill="1" applyBorder="1" applyAlignment="1">
      <alignment horizontal="center" vertical="center"/>
      <protection/>
    </xf>
    <xf numFmtId="0" fontId="4" fillId="33" borderId="45" xfId="54" applyFont="1" applyFill="1" applyBorder="1" applyAlignment="1">
      <alignment horizontal="center" vertical="center"/>
      <protection/>
    </xf>
    <xf numFmtId="0" fontId="4" fillId="33" borderId="46" xfId="54" applyFont="1" applyFill="1" applyBorder="1" applyAlignment="1">
      <alignment horizontal="center" vertical="center"/>
      <protection/>
    </xf>
    <xf numFmtId="0" fontId="4" fillId="33" borderId="47" xfId="54" applyFont="1" applyFill="1" applyBorder="1" applyAlignment="1">
      <alignment horizontal="center" vertical="center"/>
      <protection/>
    </xf>
    <xf numFmtId="1" fontId="4" fillId="33" borderId="48" xfId="54" applyNumberFormat="1" applyFont="1" applyFill="1" applyBorder="1" applyAlignment="1">
      <alignment horizontal="left" vertical="center" wrapText="1"/>
      <protection/>
    </xf>
    <xf numFmtId="1" fontId="4" fillId="33" borderId="49" xfId="54" applyNumberFormat="1" applyFont="1" applyFill="1" applyBorder="1" applyAlignment="1">
      <alignment horizontal="left" vertical="center" wrapText="1"/>
      <protection/>
    </xf>
    <xf numFmtId="0" fontId="4" fillId="33" borderId="50" xfId="54" applyFont="1" applyFill="1" applyBorder="1" applyAlignment="1">
      <alignment horizontal="center" vertical="center"/>
      <protection/>
    </xf>
    <xf numFmtId="0" fontId="4" fillId="33" borderId="51" xfId="54" applyFont="1" applyFill="1" applyBorder="1" applyAlignment="1">
      <alignment horizontal="center" vertical="center"/>
      <protection/>
    </xf>
    <xf numFmtId="0" fontId="4" fillId="33" borderId="52" xfId="54" applyFont="1" applyFill="1" applyBorder="1" applyAlignment="1">
      <alignment horizontal="center" vertical="center"/>
      <protection/>
    </xf>
    <xf numFmtId="0" fontId="4" fillId="33" borderId="53" xfId="54" applyFont="1" applyFill="1" applyBorder="1" applyAlignment="1">
      <alignment horizontal="center" vertical="center"/>
      <protection/>
    </xf>
    <xf numFmtId="0" fontId="147" fillId="33" borderId="52" xfId="54" applyFont="1" applyFill="1" applyBorder="1" applyAlignment="1">
      <alignment horizontal="center" vertical="center"/>
      <protection/>
    </xf>
    <xf numFmtId="0" fontId="147" fillId="33" borderId="28" xfId="54" applyFont="1" applyFill="1" applyBorder="1" applyAlignment="1">
      <alignment horizontal="center" vertical="center"/>
      <protection/>
    </xf>
    <xf numFmtId="1" fontId="4" fillId="33" borderId="33" xfId="54" applyNumberFormat="1" applyFont="1" applyFill="1" applyBorder="1" applyAlignment="1">
      <alignment horizontal="center" vertical="center" wrapText="1"/>
      <protection/>
    </xf>
    <xf numFmtId="1" fontId="4" fillId="33" borderId="54" xfId="54" applyNumberFormat="1" applyFont="1" applyFill="1" applyBorder="1" applyAlignment="1">
      <alignment horizontal="center" vertical="center" wrapText="1"/>
      <protection/>
    </xf>
    <xf numFmtId="1" fontId="4" fillId="33" borderId="55" xfId="54" applyNumberFormat="1" applyFont="1" applyFill="1" applyBorder="1" applyAlignment="1">
      <alignment horizontal="center" vertical="center" wrapText="1"/>
      <protection/>
    </xf>
    <xf numFmtId="1" fontId="4" fillId="33" borderId="15" xfId="54" applyNumberFormat="1" applyFont="1" applyFill="1" applyBorder="1" applyAlignment="1">
      <alignment horizontal="center" vertical="center" wrapText="1"/>
      <protection/>
    </xf>
    <xf numFmtId="1" fontId="4" fillId="33" borderId="35" xfId="54" applyNumberFormat="1" applyFont="1" applyFill="1" applyBorder="1" applyAlignment="1">
      <alignment horizontal="center" vertical="center" wrapText="1"/>
      <protection/>
    </xf>
    <xf numFmtId="1" fontId="4" fillId="33" borderId="56" xfId="54" applyNumberFormat="1" applyFont="1" applyFill="1" applyBorder="1" applyAlignment="1">
      <alignment horizontal="center" vertical="center" wrapText="1"/>
      <protection/>
    </xf>
    <xf numFmtId="1" fontId="4" fillId="33" borderId="27" xfId="54" applyNumberFormat="1" applyFont="1" applyFill="1" applyBorder="1" applyAlignment="1">
      <alignment horizontal="center" vertical="center" wrapText="1"/>
      <protection/>
    </xf>
    <xf numFmtId="1" fontId="4" fillId="33" borderId="57" xfId="54" applyNumberFormat="1" applyFont="1" applyFill="1" applyBorder="1" applyAlignment="1">
      <alignment horizontal="left" vertical="center" wrapText="1"/>
      <protection/>
    </xf>
    <xf numFmtId="1" fontId="4" fillId="33" borderId="58" xfId="54" applyNumberFormat="1" applyFont="1" applyFill="1" applyBorder="1" applyAlignment="1">
      <alignment horizontal="left" vertical="center" wrapText="1"/>
      <protection/>
    </xf>
    <xf numFmtId="0" fontId="0" fillId="0" borderId="0" xfId="54" applyAlignment="1">
      <alignment horizontal="center" vertical="center"/>
      <protection/>
    </xf>
    <xf numFmtId="0" fontId="7" fillId="0" borderId="0" xfId="54" applyFont="1" applyAlignment="1">
      <alignment horizontal="left" vertical="center"/>
      <protection/>
    </xf>
    <xf numFmtId="1" fontId="7" fillId="0" borderId="0" xfId="54" applyNumberFormat="1" applyFont="1" applyAlignment="1" applyProtection="1">
      <alignment horizontal="left" vertical="center" wrapText="1"/>
      <protection locked="0"/>
    </xf>
    <xf numFmtId="0" fontId="148" fillId="0" borderId="0" xfId="54" applyFont="1" applyAlignment="1">
      <alignment horizontal="left" vertical="center"/>
      <protection/>
    </xf>
    <xf numFmtId="0" fontId="0" fillId="0" borderId="0" xfId="0" applyAlignment="1">
      <alignment horizontal="center" vertical="center"/>
    </xf>
    <xf numFmtId="0" fontId="0" fillId="0" borderId="0" xfId="0" applyFont="1" applyAlignment="1">
      <alignment horizontal="center" vertical="center"/>
    </xf>
    <xf numFmtId="0" fontId="131" fillId="0" borderId="0" xfId="59" applyFont="1" applyAlignment="1">
      <alignment horizontal="center" vertical="center"/>
      <protection/>
    </xf>
    <xf numFmtId="0" fontId="186" fillId="0" borderId="0" xfId="59" applyFont="1" applyAlignment="1">
      <alignment horizontal="center" vertical="center"/>
      <protection/>
    </xf>
    <xf numFmtId="0" fontId="149" fillId="0" borderId="0" xfId="59" applyFont="1" applyAlignment="1">
      <alignment horizontal="center" vertical="center"/>
      <protection/>
    </xf>
    <xf numFmtId="0" fontId="3" fillId="0" borderId="0" xfId="63" applyFont="1" applyAlignment="1">
      <alignment horizontal="center" vertical="center"/>
      <protection/>
    </xf>
    <xf numFmtId="0" fontId="149" fillId="0" borderId="0" xfId="63" applyFont="1" applyAlignment="1">
      <alignment horizontal="center" vertical="center"/>
      <protection/>
    </xf>
    <xf numFmtId="0" fontId="0" fillId="0" borderId="0" xfId="54">
      <alignment/>
      <protection/>
    </xf>
    <xf numFmtId="0" fontId="4" fillId="33" borderId="59" xfId="66" applyFont="1" applyFill="1" applyBorder="1" applyAlignment="1">
      <alignment horizontal="left" vertical="center" wrapText="1"/>
      <protection/>
    </xf>
    <xf numFmtId="0" fontId="4" fillId="33" borderId="60" xfId="66" applyFont="1" applyFill="1" applyBorder="1" applyAlignment="1">
      <alignment horizontal="left" vertical="center" wrapText="1"/>
      <protection/>
    </xf>
    <xf numFmtId="0" fontId="4" fillId="33" borderId="61" xfId="66" applyFont="1" applyFill="1" applyBorder="1" applyAlignment="1">
      <alignment horizontal="left" vertical="center" wrapText="1"/>
      <protection/>
    </xf>
    <xf numFmtId="0" fontId="0" fillId="0" borderId="0" xfId="67" applyFont="1" applyAlignment="1">
      <alignment horizontal="center" vertical="center"/>
      <protection/>
    </xf>
    <xf numFmtId="0" fontId="0" fillId="0" borderId="0" xfId="67" applyFont="1" applyAlignment="1">
      <alignment horizontal="center" vertical="center"/>
      <protection/>
    </xf>
    <xf numFmtId="0" fontId="3" fillId="0" borderId="0" xfId="67" applyFont="1" applyAlignment="1">
      <alignment horizontal="center" vertical="center"/>
      <protection/>
    </xf>
    <xf numFmtId="0" fontId="149" fillId="0" borderId="0" xfId="67" applyFont="1" applyAlignment="1">
      <alignment horizontal="center" vertical="center"/>
      <protection/>
    </xf>
    <xf numFmtId="0" fontId="156" fillId="0" borderId="0" xfId="0" applyFont="1" applyAlignment="1">
      <alignment horizontal="center" vertical="center"/>
    </xf>
    <xf numFmtId="0" fontId="6" fillId="0" borderId="0" xfId="0" applyFont="1" applyAlignment="1">
      <alignment vertical="center" wrapText="1"/>
    </xf>
    <xf numFmtId="0" fontId="3" fillId="0" borderId="0" xfId="0" applyFont="1" applyAlignment="1">
      <alignment horizontal="center" vertical="center" wrapText="1"/>
    </xf>
    <xf numFmtId="0" fontId="171" fillId="0" borderId="0" xfId="0" applyFont="1" applyAlignment="1">
      <alignment/>
    </xf>
    <xf numFmtId="0" fontId="146" fillId="0" borderId="0" xfId="0" applyFont="1" applyAlignment="1">
      <alignment horizontal="center" vertical="center"/>
    </xf>
    <xf numFmtId="0" fontId="0" fillId="0" borderId="0" xfId="54" applyFont="1" applyAlignment="1">
      <alignment horizontal="center" vertical="center"/>
      <protection/>
    </xf>
    <xf numFmtId="0" fontId="146" fillId="0" borderId="0" xfId="54" applyFont="1">
      <alignment/>
      <protection/>
    </xf>
    <xf numFmtId="0" fontId="22" fillId="0" borderId="0" xfId="54" applyFont="1" applyAlignment="1">
      <alignment horizontal="center" vertical="center"/>
      <protection/>
    </xf>
    <xf numFmtId="0" fontId="7" fillId="0" borderId="0" xfId="54" applyFont="1" applyAlignment="1">
      <alignment horizontal="left" vertical="center" wrapText="1"/>
      <protection/>
    </xf>
    <xf numFmtId="0" fontId="0" fillId="0" borderId="0" xfId="54" applyAlignment="1">
      <alignment horizontal="left" vertical="center" wrapText="1"/>
      <protection/>
    </xf>
    <xf numFmtId="0" fontId="187" fillId="0" borderId="0" xfId="54" applyFont="1" applyAlignment="1">
      <alignment horizontal="right" vertical="center"/>
      <protection/>
    </xf>
    <xf numFmtId="0" fontId="157" fillId="0" borderId="0" xfId="54" applyFont="1" applyAlignment="1">
      <alignment horizontal="center" vertical="center"/>
      <protection/>
    </xf>
    <xf numFmtId="0" fontId="0" fillId="0" borderId="0" xfId="73" applyFont="1" applyAlignment="1">
      <alignment horizontal="center" vertical="center"/>
      <protection/>
    </xf>
    <xf numFmtId="0" fontId="3" fillId="0" borderId="0" xfId="73" applyFont="1" applyAlignment="1">
      <alignment horizontal="center" vertical="center"/>
      <protection/>
    </xf>
    <xf numFmtId="0" fontId="157" fillId="0" borderId="0" xfId="73" applyFont="1" applyAlignment="1">
      <alignment horizontal="center" vertical="center"/>
      <protection/>
    </xf>
    <xf numFmtId="0" fontId="0" fillId="0" borderId="0" xfId="73" applyFont="1" applyAlignment="1">
      <alignment horizontal="center" vertical="center"/>
      <protection/>
    </xf>
    <xf numFmtId="0" fontId="0" fillId="0" borderId="0" xfId="74" applyFont="1" applyAlignment="1">
      <alignment horizontal="center" vertical="center"/>
      <protection/>
    </xf>
    <xf numFmtId="0" fontId="3" fillId="0" borderId="0" xfId="74" applyFont="1" applyAlignment="1">
      <alignment horizontal="center" vertical="center"/>
      <protection/>
    </xf>
    <xf numFmtId="0" fontId="157" fillId="0" borderId="0" xfId="74" applyFont="1" applyAlignment="1">
      <alignment horizontal="center" vertical="center"/>
      <protection/>
    </xf>
    <xf numFmtId="0" fontId="31" fillId="0" borderId="0" xfId="76" applyFont="1" applyAlignment="1">
      <alignment horizontal="center" vertical="center"/>
      <protection/>
    </xf>
    <xf numFmtId="0" fontId="32" fillId="0" borderId="0" xfId="76" applyFont="1" applyAlignment="1">
      <alignment horizontal="center" vertical="center"/>
      <protection/>
    </xf>
    <xf numFmtId="0" fontId="36" fillId="0" borderId="0" xfId="76" applyFont="1" applyAlignment="1">
      <alignment horizontal="center" vertical="center"/>
      <protection/>
    </xf>
    <xf numFmtId="0" fontId="37" fillId="0" borderId="0" xfId="76" applyFont="1" applyAlignment="1">
      <alignment horizontal="center" vertical="center"/>
      <protection/>
    </xf>
    <xf numFmtId="0" fontId="164" fillId="0" borderId="0" xfId="76" applyFont="1" applyAlignment="1">
      <alignment horizontal="center" vertical="center"/>
      <protection/>
    </xf>
    <xf numFmtId="0" fontId="163" fillId="0" borderId="0" xfId="76" applyFont="1" applyAlignment="1">
      <alignment horizontal="center" vertical="center"/>
      <protection/>
    </xf>
    <xf numFmtId="1" fontId="31" fillId="0" borderId="0" xfId="75" applyNumberFormat="1" applyFont="1" applyAlignment="1">
      <alignment horizontal="center" vertical="center"/>
      <protection/>
    </xf>
    <xf numFmtId="0" fontId="31" fillId="0" borderId="0" xfId="75" applyFont="1" applyAlignment="1">
      <alignment horizontal="center" vertical="center"/>
      <protection/>
    </xf>
    <xf numFmtId="0" fontId="36" fillId="0" borderId="0" xfId="75" applyFont="1" applyAlignment="1">
      <alignment horizontal="center" vertical="center"/>
      <protection/>
    </xf>
    <xf numFmtId="0" fontId="164" fillId="0" borderId="0" xfId="75" applyFont="1" applyAlignment="1">
      <alignment horizontal="center" vertical="center"/>
      <protection/>
    </xf>
    <xf numFmtId="0" fontId="38" fillId="33" borderId="0" xfId="75" applyFont="1" applyFill="1" applyAlignment="1">
      <alignment horizontal="center" vertical="center" wrapText="1"/>
      <protection/>
    </xf>
    <xf numFmtId="0" fontId="21" fillId="33" borderId="0" xfId="75" applyFont="1" applyFill="1" applyAlignment="1">
      <alignment horizontal="center" vertical="center" wrapText="1"/>
      <protection/>
    </xf>
    <xf numFmtId="1" fontId="0" fillId="0" borderId="0" xfId="0" applyNumberFormat="1" applyFont="1" applyAlignment="1">
      <alignment horizontal="center" vertical="center"/>
    </xf>
    <xf numFmtId="1" fontId="0" fillId="0" borderId="0" xfId="0" applyNumberFormat="1" applyAlignment="1">
      <alignment horizontal="center" vertical="center"/>
    </xf>
    <xf numFmtId="1" fontId="3" fillId="0" borderId="0" xfId="0" applyNumberFormat="1" applyFont="1" applyAlignment="1">
      <alignment horizontal="center" vertical="center"/>
    </xf>
    <xf numFmtId="1" fontId="164" fillId="0" borderId="0" xfId="0" applyNumberFormat="1" applyFont="1" applyAlignment="1">
      <alignment horizontal="center" vertical="center"/>
    </xf>
    <xf numFmtId="3" fontId="0" fillId="0" borderId="0" xfId="54" applyNumberFormat="1" applyFont="1" applyAlignment="1">
      <alignment horizontal="right" vertical="center"/>
      <protection/>
    </xf>
    <xf numFmtId="3" fontId="146" fillId="0" borderId="19" xfId="0" applyNumberFormat="1" applyFont="1" applyFill="1" applyBorder="1" applyAlignment="1">
      <alignment horizontal="right" vertical="center"/>
    </xf>
  </cellXfs>
  <cellStyles count="7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Bueno 2" xfId="34"/>
    <cellStyle name="Cálculo" xfId="35"/>
    <cellStyle name="Celda de comprobación" xfId="36"/>
    <cellStyle name="Celda vinculada"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0]_unam pe 1924a2011" xfId="49"/>
    <cellStyle name="Millares [0]_unam pi 1924a2011" xfId="50"/>
    <cellStyle name="Currency" xfId="51"/>
    <cellStyle name="Currency [0]" xfId="52"/>
    <cellStyle name="Neutral" xfId="53"/>
    <cellStyle name="Normal 2" xfId="54"/>
    <cellStyle name="Normal 2 2" xfId="55"/>
    <cellStyle name="Normal 2 3" xfId="56"/>
    <cellStyle name="Normal 2 3 2" xfId="57"/>
    <cellStyle name="Normal 2_c23 programas dgapa proyectos" xfId="58"/>
    <cellStyle name="Normal 3" xfId="59"/>
    <cellStyle name="Normal 3 2" xfId="60"/>
    <cellStyle name="Normal_1_Sistema bibliotecario (DGB)" xfId="61"/>
    <cellStyle name="Normal_4_Servicio social" xfId="62"/>
    <cellStyle name="Normal_4_Servicio social 2" xfId="63"/>
    <cellStyle name="Normal_c21 programas dgapa actualizacion 2" xfId="64"/>
    <cellStyle name="Normal_c22 programas dgapa formacion 2" xfId="65"/>
    <cellStyle name="Normal_c23 programas dgapa proyectos 2" xfId="66"/>
    <cellStyle name="Normal_Hoja1" xfId="67"/>
    <cellStyle name="Normal_Hoja1 2" xfId="68"/>
    <cellStyle name="Normal_Hoja1_unam tit dip grad 1924a2010" xfId="69"/>
    <cellStyle name="Normal_pa_x_tn" xfId="70"/>
    <cellStyle name="Normal_poblac99" xfId="71"/>
    <cellStyle name="Normal_sni_07" xfId="72"/>
    <cellStyle name="Normal_unam pe 1924a2011" xfId="73"/>
    <cellStyle name="Normal_unam pi 1924a2011" xfId="74"/>
    <cellStyle name="Normal_unam tit dip grad 1924a2010" xfId="75"/>
    <cellStyle name="Normal_unam titulación 1924a2010" xfId="76"/>
    <cellStyle name="Notas" xfId="77"/>
    <cellStyle name="Percent" xfId="78"/>
    <cellStyle name="Porcentual 2" xfId="79"/>
    <cellStyle name="Porcentual 2 2" xfId="80"/>
    <cellStyle name="Salida" xfId="81"/>
    <cellStyle name="Texto de advertencia" xfId="82"/>
    <cellStyle name="Texto explicativo" xfId="83"/>
    <cellStyle name="Título" xfId="84"/>
    <cellStyle name="Título 1" xfId="85"/>
    <cellStyle name="Título 2" xfId="86"/>
    <cellStyle name="Título 3" xfId="87"/>
    <cellStyle name="Total"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styles" Target="styles.xml" /><Relationship Id="rId53" Type="http://schemas.openxmlformats.org/officeDocument/2006/relationships/sharedStrings" Target="sharedStrings.xml" /><Relationship Id="rId5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002060"/>
    <pageSetUpPr fitToPage="1"/>
  </sheetPr>
  <dimension ref="A1:N57"/>
  <sheetViews>
    <sheetView zoomScalePageLayoutView="0" workbookViewId="0" topLeftCell="A1">
      <selection activeCell="L27" sqref="L27"/>
    </sheetView>
  </sheetViews>
  <sheetFormatPr defaultColWidth="10.8515625" defaultRowHeight="12.75"/>
  <cols>
    <col min="1" max="1" width="6.8515625" style="546" customWidth="1"/>
    <col min="2" max="2" width="122.00390625" style="546" customWidth="1"/>
    <col min="3" max="16384" width="10.8515625" style="546" customWidth="1"/>
  </cols>
  <sheetData>
    <row r="1" spans="1:2" ht="18" customHeight="1">
      <c r="A1" s="1105" t="s">
        <v>687</v>
      </c>
      <c r="B1" s="1105"/>
    </row>
    <row r="2" spans="1:13" ht="18" customHeight="1">
      <c r="A2" s="544">
        <v>1</v>
      </c>
      <c r="B2" s="547" t="s">
        <v>0</v>
      </c>
      <c r="C2" s="548"/>
      <c r="D2" s="548"/>
      <c r="E2" s="548"/>
      <c r="F2" s="548"/>
      <c r="G2" s="548"/>
      <c r="H2" s="548"/>
      <c r="I2" s="548"/>
      <c r="J2" s="548"/>
      <c r="K2" s="548"/>
      <c r="L2" s="548"/>
      <c r="M2" s="548"/>
    </row>
    <row r="3" spans="1:13" ht="18" customHeight="1">
      <c r="A3" s="544">
        <v>2</v>
      </c>
      <c r="B3" s="547" t="s">
        <v>1</v>
      </c>
      <c r="C3" s="548"/>
      <c r="D3" s="548"/>
      <c r="E3" s="548"/>
      <c r="F3" s="548"/>
      <c r="G3" s="548"/>
      <c r="H3" s="548"/>
      <c r="I3" s="548"/>
      <c r="J3" s="548"/>
      <c r="K3" s="548"/>
      <c r="L3" s="548"/>
      <c r="M3" s="548"/>
    </row>
    <row r="4" spans="1:12" ht="18" customHeight="1">
      <c r="A4" s="544">
        <v>3</v>
      </c>
      <c r="B4" s="547" t="s">
        <v>2</v>
      </c>
      <c r="C4" s="548"/>
      <c r="D4" s="548"/>
      <c r="E4" s="548"/>
      <c r="F4" s="548"/>
      <c r="G4" s="548"/>
      <c r="H4" s="548"/>
      <c r="I4" s="548"/>
      <c r="J4" s="548"/>
      <c r="K4" s="548"/>
      <c r="L4" s="548"/>
    </row>
    <row r="5" spans="1:12" ht="18" customHeight="1">
      <c r="A5" s="544">
        <v>4</v>
      </c>
      <c r="B5" s="547" t="s">
        <v>3</v>
      </c>
      <c r="C5" s="548"/>
      <c r="D5" s="548"/>
      <c r="E5" s="548"/>
      <c r="F5" s="548"/>
      <c r="G5" s="548"/>
      <c r="H5" s="548"/>
      <c r="I5" s="548"/>
      <c r="J5" s="548"/>
      <c r="K5" s="548"/>
      <c r="L5" s="548"/>
    </row>
    <row r="6" spans="1:12" ht="18" customHeight="1">
      <c r="A6" s="544">
        <v>5</v>
      </c>
      <c r="B6" s="547" t="s">
        <v>4</v>
      </c>
      <c r="C6" s="548"/>
      <c r="D6" s="548"/>
      <c r="E6" s="548"/>
      <c r="F6" s="548"/>
      <c r="G6" s="548"/>
      <c r="H6" s="548"/>
      <c r="I6" s="548"/>
      <c r="J6" s="548"/>
      <c r="K6" s="548"/>
      <c r="L6" s="548"/>
    </row>
    <row r="7" spans="1:14" ht="18" customHeight="1">
      <c r="A7" s="544">
        <v>6</v>
      </c>
      <c r="B7" s="547" t="s">
        <v>5</v>
      </c>
      <c r="C7" s="548"/>
      <c r="D7" s="548"/>
      <c r="E7" s="548"/>
      <c r="F7" s="548"/>
      <c r="G7" s="548"/>
      <c r="H7" s="548"/>
      <c r="I7" s="548"/>
      <c r="J7" s="548"/>
      <c r="K7" s="548"/>
      <c r="L7" s="548"/>
      <c r="M7" s="548"/>
      <c r="N7" s="548"/>
    </row>
    <row r="8" spans="1:12" ht="18" customHeight="1">
      <c r="A8" s="544">
        <v>7</v>
      </c>
      <c r="B8" s="547" t="s">
        <v>6</v>
      </c>
      <c r="C8" s="548"/>
      <c r="D8" s="548"/>
      <c r="E8" s="548"/>
      <c r="F8" s="548"/>
      <c r="G8" s="548"/>
      <c r="H8" s="548"/>
      <c r="I8" s="548"/>
      <c r="J8" s="548"/>
      <c r="K8" s="548"/>
      <c r="L8" s="548"/>
    </row>
    <row r="9" spans="1:12" ht="18" customHeight="1">
      <c r="A9" s="544">
        <v>8</v>
      </c>
      <c r="B9" s="549" t="s">
        <v>7</v>
      </c>
      <c r="C9" s="550"/>
      <c r="D9" s="550"/>
      <c r="E9" s="550"/>
      <c r="F9" s="550"/>
      <c r="G9" s="550"/>
      <c r="H9" s="550"/>
      <c r="I9" s="550"/>
      <c r="J9" s="550"/>
      <c r="K9" s="550"/>
      <c r="L9" s="550"/>
    </row>
    <row r="10" spans="1:12" ht="18" customHeight="1">
      <c r="A10" s="544">
        <v>9</v>
      </c>
      <c r="B10" s="549" t="s">
        <v>576</v>
      </c>
      <c r="C10" s="550"/>
      <c r="D10" s="550"/>
      <c r="E10" s="550"/>
      <c r="F10" s="550"/>
      <c r="G10" s="550"/>
      <c r="H10" s="550"/>
      <c r="I10" s="550"/>
      <c r="J10" s="550"/>
      <c r="K10" s="550"/>
      <c r="L10" s="550"/>
    </row>
    <row r="11" spans="1:12" ht="18" customHeight="1">
      <c r="A11" s="544">
        <v>10</v>
      </c>
      <c r="B11" s="547" t="s">
        <v>685</v>
      </c>
      <c r="C11" s="548"/>
      <c r="D11" s="548"/>
      <c r="E11" s="548"/>
      <c r="F11" s="548"/>
      <c r="G11" s="548"/>
      <c r="H11" s="548"/>
      <c r="I11" s="548"/>
      <c r="J11" s="548"/>
      <c r="K11" s="548"/>
      <c r="L11" s="548"/>
    </row>
    <row r="12" spans="1:13" ht="18" customHeight="1">
      <c r="A12" s="544">
        <v>11</v>
      </c>
      <c r="B12" s="547" t="s">
        <v>769</v>
      </c>
      <c r="C12" s="548"/>
      <c r="D12" s="548"/>
      <c r="E12" s="548"/>
      <c r="F12" s="548"/>
      <c r="G12" s="548"/>
      <c r="H12" s="548"/>
      <c r="I12" s="548"/>
      <c r="J12" s="548"/>
      <c r="K12" s="548"/>
      <c r="L12" s="548"/>
      <c r="M12" s="548"/>
    </row>
    <row r="13" spans="1:13" ht="18" customHeight="1">
      <c r="A13" s="544">
        <v>12</v>
      </c>
      <c r="B13" s="547" t="s">
        <v>595</v>
      </c>
      <c r="C13" s="548"/>
      <c r="D13" s="548"/>
      <c r="E13" s="548"/>
      <c r="F13" s="548"/>
      <c r="G13" s="548"/>
      <c r="H13" s="548"/>
      <c r="I13" s="548"/>
      <c r="J13" s="548"/>
      <c r="K13" s="548"/>
      <c r="L13" s="548"/>
      <c r="M13" s="548"/>
    </row>
    <row r="14" spans="1:12" ht="18" customHeight="1">
      <c r="A14" s="544" t="s">
        <v>679</v>
      </c>
      <c r="B14" s="547" t="s">
        <v>680</v>
      </c>
      <c r="C14" s="548"/>
      <c r="D14" s="548"/>
      <c r="E14" s="548"/>
      <c r="F14" s="548"/>
      <c r="G14" s="548"/>
      <c r="H14" s="548"/>
      <c r="I14" s="548"/>
      <c r="J14" s="548"/>
      <c r="K14" s="548"/>
      <c r="L14" s="548"/>
    </row>
    <row r="15" spans="1:12" ht="18" customHeight="1">
      <c r="A15" s="544">
        <v>13</v>
      </c>
      <c r="B15" s="547" t="s">
        <v>8</v>
      </c>
      <c r="C15" s="548"/>
      <c r="D15" s="548"/>
      <c r="E15" s="548"/>
      <c r="F15" s="548"/>
      <c r="G15" s="548"/>
      <c r="H15" s="548"/>
      <c r="I15" s="548"/>
      <c r="J15" s="548"/>
      <c r="K15" s="548"/>
      <c r="L15" s="548"/>
    </row>
    <row r="16" spans="1:12" ht="18" customHeight="1">
      <c r="A16" s="544">
        <v>14</v>
      </c>
      <c r="B16" s="547" t="s">
        <v>9</v>
      </c>
      <c r="C16" s="548"/>
      <c r="D16" s="548"/>
      <c r="E16" s="548"/>
      <c r="F16" s="548"/>
      <c r="G16" s="548"/>
      <c r="H16" s="548"/>
      <c r="I16" s="548"/>
      <c r="J16" s="548"/>
      <c r="K16" s="548"/>
      <c r="L16" s="548"/>
    </row>
    <row r="17" spans="1:12" ht="18" customHeight="1">
      <c r="A17" s="544">
        <v>15</v>
      </c>
      <c r="B17" s="547" t="s">
        <v>688</v>
      </c>
      <c r="C17" s="548"/>
      <c r="D17" s="548"/>
      <c r="E17" s="548"/>
      <c r="F17" s="548"/>
      <c r="G17" s="548"/>
      <c r="H17" s="548"/>
      <c r="I17" s="548"/>
      <c r="J17" s="548"/>
      <c r="K17" s="548"/>
      <c r="L17" s="548"/>
    </row>
    <row r="18" spans="1:12" ht="18" customHeight="1">
      <c r="A18" s="544">
        <v>16</v>
      </c>
      <c r="B18" s="551" t="s">
        <v>10</v>
      </c>
      <c r="C18" s="552"/>
      <c r="D18" s="552"/>
      <c r="E18" s="552"/>
      <c r="F18" s="552"/>
      <c r="G18" s="552"/>
      <c r="H18" s="552"/>
      <c r="I18" s="552"/>
      <c r="J18" s="552"/>
      <c r="K18" s="552"/>
      <c r="L18" s="552"/>
    </row>
    <row r="19" spans="1:12" ht="18" customHeight="1">
      <c r="A19" s="544">
        <v>17</v>
      </c>
      <c r="B19" s="547" t="s">
        <v>11</v>
      </c>
      <c r="C19" s="548"/>
      <c r="D19" s="548"/>
      <c r="E19" s="548"/>
      <c r="F19" s="548"/>
      <c r="G19" s="548"/>
      <c r="H19" s="548"/>
      <c r="I19" s="548"/>
      <c r="J19" s="548"/>
      <c r="K19" s="548"/>
      <c r="L19" s="548"/>
    </row>
    <row r="20" spans="1:12" ht="18" customHeight="1">
      <c r="A20" s="544">
        <v>18</v>
      </c>
      <c r="B20" s="547" t="s">
        <v>12</v>
      </c>
      <c r="C20" s="548"/>
      <c r="D20" s="548"/>
      <c r="E20" s="548"/>
      <c r="F20" s="548"/>
      <c r="G20" s="548"/>
      <c r="H20" s="548"/>
      <c r="I20" s="548"/>
      <c r="J20" s="548"/>
      <c r="K20" s="548"/>
      <c r="L20" s="548"/>
    </row>
    <row r="21" spans="1:12" ht="18" customHeight="1">
      <c r="A21" s="544">
        <v>19</v>
      </c>
      <c r="B21" s="547" t="s">
        <v>13</v>
      </c>
      <c r="C21" s="548"/>
      <c r="D21" s="548"/>
      <c r="E21" s="548"/>
      <c r="F21" s="548"/>
      <c r="G21" s="548"/>
      <c r="H21" s="548"/>
      <c r="I21" s="548"/>
      <c r="J21" s="548"/>
      <c r="K21" s="548"/>
      <c r="L21" s="548"/>
    </row>
    <row r="22" spans="1:12" ht="18" customHeight="1">
      <c r="A22" s="544">
        <v>20</v>
      </c>
      <c r="B22" s="547" t="s">
        <v>14</v>
      </c>
      <c r="C22" s="548"/>
      <c r="D22" s="548"/>
      <c r="E22" s="548"/>
      <c r="F22" s="548"/>
      <c r="G22" s="548"/>
      <c r="H22" s="548"/>
      <c r="I22" s="548"/>
      <c r="J22" s="548"/>
      <c r="K22" s="548"/>
      <c r="L22" s="548"/>
    </row>
    <row r="23" spans="1:12" ht="18" customHeight="1">
      <c r="A23" s="544">
        <v>21</v>
      </c>
      <c r="B23" s="547" t="s">
        <v>15</v>
      </c>
      <c r="C23" s="548"/>
      <c r="D23" s="548"/>
      <c r="E23" s="548"/>
      <c r="F23" s="548"/>
      <c r="G23" s="548"/>
      <c r="H23" s="548"/>
      <c r="I23" s="548"/>
      <c r="J23" s="548"/>
      <c r="K23" s="548"/>
      <c r="L23" s="548"/>
    </row>
    <row r="24" spans="1:12" ht="18" customHeight="1">
      <c r="A24" s="544">
        <v>22</v>
      </c>
      <c r="B24" s="547" t="s">
        <v>16</v>
      </c>
      <c r="C24" s="548"/>
      <c r="D24" s="548"/>
      <c r="E24" s="548"/>
      <c r="F24" s="548"/>
      <c r="G24" s="548"/>
      <c r="H24" s="548"/>
      <c r="I24" s="548"/>
      <c r="J24" s="548"/>
      <c r="K24" s="548"/>
      <c r="L24" s="548"/>
    </row>
    <row r="25" spans="1:12" ht="18" customHeight="1">
      <c r="A25" s="544">
        <v>23</v>
      </c>
      <c r="B25" s="547" t="s">
        <v>17</v>
      </c>
      <c r="C25" s="548"/>
      <c r="D25" s="548"/>
      <c r="E25" s="548"/>
      <c r="F25" s="548"/>
      <c r="G25" s="548"/>
      <c r="H25" s="548"/>
      <c r="I25" s="548"/>
      <c r="J25" s="548"/>
      <c r="K25" s="548"/>
      <c r="L25" s="548"/>
    </row>
    <row r="26" spans="1:2" ht="18" customHeight="1">
      <c r="A26" s="544">
        <v>24</v>
      </c>
      <c r="B26" s="547" t="s">
        <v>18</v>
      </c>
    </row>
    <row r="27" spans="1:7" ht="18" customHeight="1">
      <c r="A27" s="544">
        <v>25</v>
      </c>
      <c r="B27" s="547" t="s">
        <v>19</v>
      </c>
      <c r="C27" s="548"/>
      <c r="D27" s="548"/>
      <c r="E27" s="548"/>
      <c r="F27" s="548"/>
      <c r="G27" s="548"/>
    </row>
    <row r="28" spans="1:11" ht="18" customHeight="1">
      <c r="A28" s="544">
        <v>26</v>
      </c>
      <c r="B28" s="547" t="s">
        <v>298</v>
      </c>
      <c r="C28" s="548"/>
      <c r="D28" s="548"/>
      <c r="E28" s="548"/>
      <c r="F28" s="548"/>
      <c r="G28" s="548"/>
      <c r="H28" s="548"/>
      <c r="I28" s="548"/>
      <c r="J28" s="548"/>
      <c r="K28" s="548"/>
    </row>
    <row r="29" spans="1:11" ht="18" customHeight="1">
      <c r="A29" s="544">
        <v>27</v>
      </c>
      <c r="B29" s="547" t="s">
        <v>306</v>
      </c>
      <c r="C29" s="553"/>
      <c r="D29" s="553"/>
      <c r="E29" s="553"/>
      <c r="F29" s="553"/>
      <c r="G29" s="553"/>
      <c r="H29" s="553"/>
      <c r="I29" s="553"/>
      <c r="J29" s="553"/>
      <c r="K29" s="553"/>
    </row>
    <row r="30" spans="1:11" ht="18" customHeight="1">
      <c r="A30" s="544">
        <v>28</v>
      </c>
      <c r="B30" s="547" t="s">
        <v>20</v>
      </c>
      <c r="C30" s="548"/>
      <c r="D30" s="548"/>
      <c r="E30" s="548"/>
      <c r="F30" s="548"/>
      <c r="G30" s="548"/>
      <c r="H30" s="548"/>
      <c r="I30" s="548"/>
      <c r="J30" s="548"/>
      <c r="K30" s="548"/>
    </row>
    <row r="31" spans="1:11" ht="18" customHeight="1">
      <c r="A31" s="544">
        <v>29</v>
      </c>
      <c r="B31" s="547" t="s">
        <v>557</v>
      </c>
      <c r="C31" s="548"/>
      <c r="D31" s="548"/>
      <c r="E31" s="548"/>
      <c r="F31" s="548"/>
      <c r="G31" s="548"/>
      <c r="H31" s="548"/>
      <c r="I31" s="548"/>
      <c r="J31" s="548"/>
      <c r="K31" s="548"/>
    </row>
    <row r="32" spans="1:11" ht="18" customHeight="1">
      <c r="A32" s="544">
        <v>30</v>
      </c>
      <c r="B32" s="547" t="s">
        <v>321</v>
      </c>
      <c r="C32" s="548"/>
      <c r="D32" s="548"/>
      <c r="E32" s="548"/>
      <c r="F32" s="548"/>
      <c r="G32" s="548"/>
      <c r="H32" s="548"/>
      <c r="I32" s="548"/>
      <c r="J32" s="548"/>
      <c r="K32" s="548"/>
    </row>
    <row r="33" spans="1:11" ht="18" customHeight="1">
      <c r="A33" s="544">
        <v>31</v>
      </c>
      <c r="B33" s="547" t="s">
        <v>21</v>
      </c>
      <c r="C33" s="548"/>
      <c r="D33" s="548"/>
      <c r="E33" s="548"/>
      <c r="F33" s="548"/>
      <c r="G33" s="548"/>
      <c r="H33" s="548"/>
      <c r="I33" s="548"/>
      <c r="J33" s="548"/>
      <c r="K33" s="548"/>
    </row>
    <row r="34" spans="1:11" ht="18" customHeight="1">
      <c r="A34" s="544">
        <v>32</v>
      </c>
      <c r="B34" s="554" t="s">
        <v>22</v>
      </c>
      <c r="C34" s="548"/>
      <c r="D34" s="548"/>
      <c r="E34" s="548"/>
      <c r="F34" s="548"/>
      <c r="G34" s="548"/>
      <c r="H34" s="548"/>
      <c r="I34" s="548"/>
      <c r="J34" s="548"/>
      <c r="K34" s="548"/>
    </row>
    <row r="35" spans="1:11" ht="18" customHeight="1">
      <c r="A35" s="544">
        <v>33</v>
      </c>
      <c r="B35" s="547" t="s">
        <v>23</v>
      </c>
      <c r="C35" s="548"/>
      <c r="D35" s="548"/>
      <c r="E35" s="548"/>
      <c r="F35" s="548"/>
      <c r="G35" s="548"/>
      <c r="H35" s="548"/>
      <c r="I35" s="548"/>
      <c r="J35" s="548"/>
      <c r="K35" s="548"/>
    </row>
    <row r="36" spans="1:11" ht="18" customHeight="1">
      <c r="A36" s="544">
        <v>34</v>
      </c>
      <c r="B36" s="547" t="s">
        <v>24</v>
      </c>
      <c r="C36" s="548"/>
      <c r="D36" s="548"/>
      <c r="E36" s="548"/>
      <c r="F36" s="548"/>
      <c r="G36" s="548"/>
      <c r="H36" s="548"/>
      <c r="I36" s="548"/>
      <c r="J36" s="548"/>
      <c r="K36" s="548"/>
    </row>
    <row r="37" spans="1:12" ht="18" customHeight="1">
      <c r="A37" s="544">
        <v>35</v>
      </c>
      <c r="B37" s="547" t="s">
        <v>25</v>
      </c>
      <c r="C37" s="548"/>
      <c r="D37" s="548"/>
      <c r="E37" s="548"/>
      <c r="F37" s="548"/>
      <c r="G37" s="548"/>
      <c r="H37" s="548"/>
      <c r="I37" s="548"/>
      <c r="J37" s="548"/>
      <c r="K37" s="548"/>
      <c r="L37" s="548"/>
    </row>
    <row r="38" spans="1:13" ht="18" customHeight="1">
      <c r="A38" s="544">
        <v>36</v>
      </c>
      <c r="B38" s="547" t="s">
        <v>26</v>
      </c>
      <c r="C38" s="548"/>
      <c r="D38" s="548"/>
      <c r="E38" s="548"/>
      <c r="F38" s="548"/>
      <c r="G38" s="548"/>
      <c r="H38" s="548"/>
      <c r="I38" s="548"/>
      <c r="J38" s="548"/>
      <c r="K38" s="548"/>
      <c r="L38" s="548"/>
      <c r="M38" s="548"/>
    </row>
    <row r="39" spans="1:12" ht="18" customHeight="1">
      <c r="A39" s="544">
        <v>37</v>
      </c>
      <c r="B39" s="547" t="s">
        <v>27</v>
      </c>
      <c r="C39" s="548"/>
      <c r="D39" s="548"/>
      <c r="E39" s="548"/>
      <c r="F39" s="548"/>
      <c r="G39" s="548"/>
      <c r="H39" s="548"/>
      <c r="I39" s="548"/>
      <c r="J39" s="548"/>
      <c r="K39" s="548"/>
      <c r="L39" s="548"/>
    </row>
    <row r="40" spans="1:2" ht="18" customHeight="1">
      <c r="A40" s="544">
        <v>38</v>
      </c>
      <c r="B40" s="547" t="s">
        <v>28</v>
      </c>
    </row>
    <row r="41" spans="1:2" ht="18" customHeight="1">
      <c r="A41" s="544">
        <v>39</v>
      </c>
      <c r="B41" s="547" t="s">
        <v>682</v>
      </c>
    </row>
    <row r="42" spans="1:2" ht="18" customHeight="1">
      <c r="A42" s="544">
        <v>40</v>
      </c>
      <c r="B42" s="547" t="s">
        <v>29</v>
      </c>
    </row>
    <row r="43" spans="1:2" ht="18" customHeight="1">
      <c r="A43" s="544">
        <v>41</v>
      </c>
      <c r="B43" s="547" t="s">
        <v>30</v>
      </c>
    </row>
    <row r="44" ht="18" customHeight="1">
      <c r="A44" s="545"/>
    </row>
    <row r="45" spans="1:2" s="298" customFormat="1" ht="18" customHeight="1">
      <c r="A45" s="796" t="s">
        <v>31</v>
      </c>
      <c r="B45" s="797" t="s">
        <v>32</v>
      </c>
    </row>
    <row r="46" spans="1:2" s="298" customFormat="1" ht="18" customHeight="1">
      <c r="A46" s="796" t="s">
        <v>33</v>
      </c>
      <c r="B46" s="797" t="s">
        <v>713</v>
      </c>
    </row>
    <row r="47" spans="1:2" s="298" customFormat="1" ht="18" customHeight="1">
      <c r="A47" s="796" t="s">
        <v>34</v>
      </c>
      <c r="B47" s="797" t="s">
        <v>714</v>
      </c>
    </row>
    <row r="48" spans="1:2" s="298" customFormat="1" ht="18" customHeight="1">
      <c r="A48" s="796" t="s">
        <v>35</v>
      </c>
      <c r="B48" s="797" t="s">
        <v>715</v>
      </c>
    </row>
    <row r="49" spans="1:2" s="298" customFormat="1" ht="18" customHeight="1">
      <c r="A49" s="796" t="s">
        <v>36</v>
      </c>
      <c r="B49" s="797" t="s">
        <v>716</v>
      </c>
    </row>
    <row r="50" spans="1:2" s="298" customFormat="1" ht="18" customHeight="1">
      <c r="A50" s="796" t="s">
        <v>37</v>
      </c>
      <c r="B50" s="797" t="s">
        <v>717</v>
      </c>
    </row>
    <row r="51" spans="1:2" s="298" customFormat="1" ht="18" customHeight="1">
      <c r="A51" s="796" t="s">
        <v>38</v>
      </c>
      <c r="B51" s="797" t="s">
        <v>718</v>
      </c>
    </row>
    <row r="52" spans="1:2" s="298" customFormat="1" ht="18" customHeight="1">
      <c r="A52" s="796" t="s">
        <v>681</v>
      </c>
      <c r="B52" s="797" t="s">
        <v>719</v>
      </c>
    </row>
    <row r="56" ht="12.75">
      <c r="B56" s="555" t="s">
        <v>662</v>
      </c>
    </row>
    <row r="57" ht="12.75">
      <c r="B57" s="556">
        <f ca="1">TODAY()</f>
        <v>45352</v>
      </c>
    </row>
  </sheetData>
  <sheetProtection/>
  <mergeCells count="1">
    <mergeCell ref="A1:B1"/>
  </mergeCells>
  <printOptions horizontalCentered="1"/>
  <pageMargins left="0.7874015748031497" right="0.7874015748031497" top="0.984251968503937" bottom="0.984251968503937" header="0" footer="0"/>
  <pageSetup fitToHeight="1" fitToWidth="1" horizontalDpi="600" verticalDpi="600" orientation="landscape" scale="48"/>
</worksheet>
</file>

<file path=xl/worksheets/sheet10.xml><?xml version="1.0" encoding="utf-8"?>
<worksheet xmlns="http://schemas.openxmlformats.org/spreadsheetml/2006/main" xmlns:r="http://schemas.openxmlformats.org/officeDocument/2006/relationships">
  <sheetPr>
    <tabColor rgb="FF660066"/>
    <pageSetUpPr fitToPage="1"/>
  </sheetPr>
  <dimension ref="A1:X37"/>
  <sheetViews>
    <sheetView zoomScalePageLayoutView="0" workbookViewId="0" topLeftCell="A1">
      <pane xSplit="1" ySplit="6" topLeftCell="S7" activePane="bottomRight" state="frozen"/>
      <selection pane="topLeft" activeCell="A1" sqref="A1"/>
      <selection pane="topRight" activeCell="B1" sqref="B1"/>
      <selection pane="bottomLeft" activeCell="A7" sqref="A7"/>
      <selection pane="bottomRight" activeCell="V17" activeCellId="1" sqref="V7 V17"/>
    </sheetView>
  </sheetViews>
  <sheetFormatPr defaultColWidth="10.8515625" defaultRowHeight="12.75"/>
  <cols>
    <col min="1" max="1" width="36.7109375" style="408" customWidth="1"/>
    <col min="2" max="23" width="10.8515625" style="408" customWidth="1"/>
    <col min="24" max="24" width="10.8515625" style="472" customWidth="1"/>
    <col min="25" max="16384" width="10.8515625" style="408" customWidth="1"/>
  </cols>
  <sheetData>
    <row r="1" spans="1:24" ht="12.75">
      <c r="A1" s="1115" t="s">
        <v>106</v>
      </c>
      <c r="B1" s="1115"/>
      <c r="C1" s="1115"/>
      <c r="D1" s="1115"/>
      <c r="E1" s="1115"/>
      <c r="F1" s="1115"/>
      <c r="G1" s="1115"/>
      <c r="H1" s="1115"/>
      <c r="I1" s="1115"/>
      <c r="J1" s="1115"/>
      <c r="K1" s="1115"/>
      <c r="L1" s="1115"/>
      <c r="M1" s="1115"/>
      <c r="N1" s="1115"/>
      <c r="O1" s="1115"/>
      <c r="P1" s="1115"/>
      <c r="Q1" s="1115"/>
      <c r="R1" s="1115"/>
      <c r="S1" s="1115"/>
      <c r="T1" s="1115"/>
      <c r="U1" s="1115"/>
      <c r="V1" s="1115"/>
      <c r="W1" s="1115"/>
      <c r="X1" s="1115"/>
    </row>
    <row r="3" spans="1:24" s="524" customFormat="1" ht="18" customHeight="1">
      <c r="A3" s="1122" t="s">
        <v>655</v>
      </c>
      <c r="B3" s="1122"/>
      <c r="C3" s="1122"/>
      <c r="D3" s="1122"/>
      <c r="E3" s="1122"/>
      <c r="F3" s="1122"/>
      <c r="G3" s="1122"/>
      <c r="H3" s="1122"/>
      <c r="I3" s="1122"/>
      <c r="J3" s="1122"/>
      <c r="K3" s="1122"/>
      <c r="L3" s="1122"/>
      <c r="M3" s="1122"/>
      <c r="N3" s="1122"/>
      <c r="O3" s="1122"/>
      <c r="P3" s="1122"/>
      <c r="Q3" s="1122"/>
      <c r="R3" s="1122"/>
      <c r="S3" s="1122"/>
      <c r="T3" s="1122"/>
      <c r="U3" s="1122"/>
      <c r="V3" s="1122"/>
      <c r="W3" s="1122"/>
      <c r="X3" s="1123"/>
    </row>
    <row r="4" spans="1:24" s="784" customFormat="1" ht="18" customHeight="1">
      <c r="A4" s="1124" t="s">
        <v>720</v>
      </c>
      <c r="B4" s="1124"/>
      <c r="C4" s="1124"/>
      <c r="D4" s="1124"/>
      <c r="E4" s="1124"/>
      <c r="F4" s="1124"/>
      <c r="G4" s="1124"/>
      <c r="H4" s="1124"/>
      <c r="I4" s="1124"/>
      <c r="J4" s="1124"/>
      <c r="K4" s="1124"/>
      <c r="L4" s="1124"/>
      <c r="M4" s="1124"/>
      <c r="N4" s="1124"/>
      <c r="O4" s="1124"/>
      <c r="P4" s="1124"/>
      <c r="Q4" s="1124"/>
      <c r="R4" s="1124"/>
      <c r="S4" s="1124"/>
      <c r="T4" s="1124"/>
      <c r="U4" s="1124"/>
      <c r="V4" s="1124"/>
      <c r="W4" s="1124"/>
      <c r="X4" s="1125"/>
    </row>
    <row r="5" spans="1:11" ht="18" customHeight="1">
      <c r="A5" s="65"/>
      <c r="B5" s="417"/>
      <c r="C5" s="417"/>
      <c r="D5" s="417"/>
      <c r="E5" s="417"/>
      <c r="F5" s="417"/>
      <c r="G5" s="417"/>
      <c r="H5" s="417"/>
      <c r="I5" s="417"/>
      <c r="J5" s="417"/>
      <c r="K5" s="393"/>
    </row>
    <row r="6" spans="1:24" s="360" customFormat="1" ht="18" customHeight="1">
      <c r="A6" s="525"/>
      <c r="B6" s="526">
        <v>2000</v>
      </c>
      <c r="C6" s="526">
        <v>2001</v>
      </c>
      <c r="D6" s="526">
        <v>2002</v>
      </c>
      <c r="E6" s="526">
        <v>2003</v>
      </c>
      <c r="F6" s="526">
        <v>2004</v>
      </c>
      <c r="G6" s="526">
        <v>2005</v>
      </c>
      <c r="H6" s="526">
        <v>2006</v>
      </c>
      <c r="I6" s="526">
        <v>2007</v>
      </c>
      <c r="J6" s="526">
        <v>2008</v>
      </c>
      <c r="K6" s="526">
        <v>2009</v>
      </c>
      <c r="L6" s="526">
        <v>2010</v>
      </c>
      <c r="M6" s="526">
        <v>2011</v>
      </c>
      <c r="N6" s="526">
        <v>2012</v>
      </c>
      <c r="O6" s="526">
        <v>2013</v>
      </c>
      <c r="P6" s="526">
        <v>2014</v>
      </c>
      <c r="Q6" s="527">
        <v>2015</v>
      </c>
      <c r="R6" s="526">
        <v>2016</v>
      </c>
      <c r="S6" s="526">
        <v>2017</v>
      </c>
      <c r="T6" s="526">
        <v>2018</v>
      </c>
      <c r="U6" s="781">
        <v>2019</v>
      </c>
      <c r="V6" s="781">
        <v>2020</v>
      </c>
      <c r="W6" s="781">
        <v>2021</v>
      </c>
      <c r="X6" s="975">
        <v>2022</v>
      </c>
    </row>
    <row r="7" spans="1:24" ht="18" customHeight="1">
      <c r="A7" s="358" t="s">
        <v>113</v>
      </c>
      <c r="B7" s="358">
        <f aca="true" t="shared" si="0" ref="B7:R7">B8+B9</f>
        <v>11272</v>
      </c>
      <c r="C7" s="358">
        <f t="shared" si="0"/>
        <v>14077</v>
      </c>
      <c r="D7" s="358">
        <f t="shared" si="0"/>
        <v>13628</v>
      </c>
      <c r="E7" s="358">
        <f t="shared" si="0"/>
        <v>13553</v>
      </c>
      <c r="F7" s="358">
        <f t="shared" si="0"/>
        <v>12861</v>
      </c>
      <c r="G7" s="358">
        <f t="shared" si="0"/>
        <v>13349</v>
      </c>
      <c r="H7" s="358">
        <f>H8+H9</f>
        <v>13553</v>
      </c>
      <c r="I7" s="358">
        <f>I8+I9</f>
        <v>15592</v>
      </c>
      <c r="J7" s="358">
        <f>J8+J9</f>
        <v>17747</v>
      </c>
      <c r="K7" s="358">
        <f t="shared" si="0"/>
        <v>17076</v>
      </c>
      <c r="L7" s="358">
        <f t="shared" si="0"/>
        <v>18714</v>
      </c>
      <c r="M7" s="358">
        <f t="shared" si="0"/>
        <v>18485</v>
      </c>
      <c r="N7" s="358">
        <f t="shared" si="0"/>
        <v>19831</v>
      </c>
      <c r="O7" s="358">
        <f t="shared" si="0"/>
        <v>20451</v>
      </c>
      <c r="P7" s="358">
        <f t="shared" si="0"/>
        <v>21801</v>
      </c>
      <c r="Q7" s="528">
        <f t="shared" si="0"/>
        <v>23047</v>
      </c>
      <c r="R7" s="358">
        <f t="shared" si="0"/>
        <v>24463</v>
      </c>
      <c r="S7" s="358">
        <f aca="true" t="shared" si="1" ref="S7:X7">S8+S9</f>
        <v>22815</v>
      </c>
      <c r="T7" s="358">
        <f t="shared" si="1"/>
        <v>23843</v>
      </c>
      <c r="U7" s="397">
        <f t="shared" si="1"/>
        <v>22735</v>
      </c>
      <c r="V7" s="397">
        <f t="shared" si="1"/>
        <v>7939</v>
      </c>
      <c r="W7" s="397">
        <f t="shared" si="1"/>
        <v>19778</v>
      </c>
      <c r="X7" s="817">
        <f t="shared" si="1"/>
        <v>30846</v>
      </c>
    </row>
    <row r="8" spans="1:24" ht="18" customHeight="1">
      <c r="A8" s="529" t="s">
        <v>114</v>
      </c>
      <c r="B8" s="530">
        <v>343</v>
      </c>
      <c r="C8" s="530">
        <v>736</v>
      </c>
      <c r="D8" s="530">
        <v>284</v>
      </c>
      <c r="E8" s="530">
        <v>233</v>
      </c>
      <c r="F8" s="530">
        <v>301</v>
      </c>
      <c r="G8" s="530">
        <v>250</v>
      </c>
      <c r="H8" s="530">
        <v>332</v>
      </c>
      <c r="I8" s="530">
        <v>150</v>
      </c>
      <c r="J8" s="530">
        <v>687</v>
      </c>
      <c r="K8" s="530">
        <v>106</v>
      </c>
      <c r="L8" s="530">
        <v>116</v>
      </c>
      <c r="M8" s="530">
        <v>413</v>
      </c>
      <c r="N8" s="530">
        <v>160</v>
      </c>
      <c r="O8" s="531">
        <v>79</v>
      </c>
      <c r="P8" s="532">
        <v>67</v>
      </c>
      <c r="Q8" s="532">
        <v>35</v>
      </c>
      <c r="R8" s="519">
        <v>58</v>
      </c>
      <c r="S8" s="519">
        <v>49</v>
      </c>
      <c r="T8" s="519">
        <v>38</v>
      </c>
      <c r="U8" s="782">
        <v>32</v>
      </c>
      <c r="V8" s="782">
        <v>1</v>
      </c>
      <c r="W8" s="1042">
        <v>0</v>
      </c>
      <c r="X8" s="976">
        <v>16</v>
      </c>
    </row>
    <row r="9" spans="1:24" ht="18" customHeight="1">
      <c r="A9" s="529" t="s">
        <v>115</v>
      </c>
      <c r="B9" s="530">
        <v>10929</v>
      </c>
      <c r="C9" s="530">
        <v>13341</v>
      </c>
      <c r="D9" s="530">
        <v>13344</v>
      </c>
      <c r="E9" s="530">
        <v>13320</v>
      </c>
      <c r="F9" s="530">
        <v>12560</v>
      </c>
      <c r="G9" s="530">
        <f aca="true" t="shared" si="2" ref="G9:S9">SUM(G11:G12)</f>
        <v>13099</v>
      </c>
      <c r="H9" s="530">
        <f t="shared" si="2"/>
        <v>13221</v>
      </c>
      <c r="I9" s="530">
        <f t="shared" si="2"/>
        <v>15442</v>
      </c>
      <c r="J9" s="530">
        <f t="shared" si="2"/>
        <v>17060</v>
      </c>
      <c r="K9" s="530">
        <f t="shared" si="2"/>
        <v>16970</v>
      </c>
      <c r="L9" s="530">
        <f t="shared" si="2"/>
        <v>18598</v>
      </c>
      <c r="M9" s="530">
        <f t="shared" si="2"/>
        <v>18072</v>
      </c>
      <c r="N9" s="530">
        <f t="shared" si="2"/>
        <v>19671</v>
      </c>
      <c r="O9" s="530">
        <f t="shared" si="2"/>
        <v>20372</v>
      </c>
      <c r="P9" s="530">
        <f t="shared" si="2"/>
        <v>21734</v>
      </c>
      <c r="Q9" s="530">
        <f t="shared" si="2"/>
        <v>23012</v>
      </c>
      <c r="R9" s="530">
        <f t="shared" si="2"/>
        <v>24405</v>
      </c>
      <c r="S9" s="530">
        <f t="shared" si="2"/>
        <v>22766</v>
      </c>
      <c r="T9" s="530">
        <f>SUM(T11:T12)</f>
        <v>23805</v>
      </c>
      <c r="U9" s="401">
        <f>SUM(U11:U12)</f>
        <v>22703</v>
      </c>
      <c r="V9" s="401">
        <f>SUM(V11:V12)</f>
        <v>7938</v>
      </c>
      <c r="W9" s="1043">
        <v>19778</v>
      </c>
      <c r="X9" s="823">
        <f>+X11+X12</f>
        <v>30830</v>
      </c>
    </row>
    <row r="10" spans="1:24" ht="18" customHeight="1">
      <c r="A10" s="533" t="s">
        <v>69</v>
      </c>
      <c r="B10" s="180">
        <v>0.532162137432519</v>
      </c>
      <c r="C10" s="180">
        <v>0.5584289033805562</v>
      </c>
      <c r="D10" s="180">
        <v>0.5518585131894485</v>
      </c>
      <c r="E10" s="180">
        <v>0.5518768768768769</v>
      </c>
      <c r="F10" s="180">
        <v>0.5515923566878981</v>
      </c>
      <c r="G10" s="180">
        <v>0.5732498664020155</v>
      </c>
      <c r="H10" s="180">
        <v>0.5905703534272855</v>
      </c>
      <c r="I10" s="180">
        <f>9161/I9</f>
        <v>0.5932521694081078</v>
      </c>
      <c r="J10" s="180">
        <v>0.6</v>
      </c>
      <c r="K10" s="180">
        <v>0.59</v>
      </c>
      <c r="L10" s="180">
        <v>0.59</v>
      </c>
      <c r="M10" s="180">
        <v>0.58</v>
      </c>
      <c r="N10" s="287">
        <v>0.566</v>
      </c>
      <c r="O10" s="287">
        <v>0.57</v>
      </c>
      <c r="P10" s="287">
        <v>0.561</v>
      </c>
      <c r="Q10" s="534">
        <v>0.5697</v>
      </c>
      <c r="R10" s="180">
        <v>0.565</v>
      </c>
      <c r="S10" s="287">
        <v>0.5591232539752262</v>
      </c>
      <c r="T10" s="180">
        <v>0.5655</v>
      </c>
      <c r="U10" s="449">
        <v>0.56</v>
      </c>
      <c r="V10" s="449">
        <v>0.574</v>
      </c>
      <c r="W10" s="449">
        <v>0.597</v>
      </c>
      <c r="X10" s="926">
        <v>0.597</v>
      </c>
    </row>
    <row r="11" spans="1:24" ht="18" customHeight="1">
      <c r="A11" s="533" t="s">
        <v>116</v>
      </c>
      <c r="B11" s="374" t="s">
        <v>90</v>
      </c>
      <c r="C11" s="374" t="s">
        <v>90</v>
      </c>
      <c r="D11" s="374" t="s">
        <v>90</v>
      </c>
      <c r="E11" s="374" t="s">
        <v>90</v>
      </c>
      <c r="F11" s="374" t="s">
        <v>90</v>
      </c>
      <c r="G11" s="374">
        <v>8658</v>
      </c>
      <c r="H11" s="374">
        <v>7392</v>
      </c>
      <c r="I11" s="374">
        <v>6497</v>
      </c>
      <c r="J11" s="374">
        <v>6211</v>
      </c>
      <c r="K11" s="374">
        <v>6138</v>
      </c>
      <c r="L11" s="374">
        <v>6276</v>
      </c>
      <c r="M11" s="374">
        <v>6026</v>
      </c>
      <c r="N11" s="374">
        <v>6190</v>
      </c>
      <c r="O11" s="374">
        <v>6693</v>
      </c>
      <c r="P11" s="374">
        <v>7198</v>
      </c>
      <c r="Q11" s="535">
        <v>7979</v>
      </c>
      <c r="R11" s="374">
        <v>7346</v>
      </c>
      <c r="S11" s="374">
        <v>6079</v>
      </c>
      <c r="T11" s="374">
        <v>6247</v>
      </c>
      <c r="U11" s="406">
        <v>5802</v>
      </c>
      <c r="V11" s="406">
        <v>1863</v>
      </c>
      <c r="W11" s="1044">
        <v>3745</v>
      </c>
      <c r="X11" s="953">
        <v>5385</v>
      </c>
    </row>
    <row r="12" spans="1:24" ht="18" customHeight="1">
      <c r="A12" s="533" t="s">
        <v>117</v>
      </c>
      <c r="B12" s="374" t="s">
        <v>90</v>
      </c>
      <c r="C12" s="374" t="s">
        <v>90</v>
      </c>
      <c r="D12" s="374" t="s">
        <v>90</v>
      </c>
      <c r="E12" s="374" t="s">
        <v>90</v>
      </c>
      <c r="F12" s="374" t="s">
        <v>90</v>
      </c>
      <c r="G12" s="374">
        <v>4441</v>
      </c>
      <c r="H12" s="374">
        <v>5829</v>
      </c>
      <c r="I12" s="374">
        <v>8945</v>
      </c>
      <c r="J12" s="374">
        <v>10849</v>
      </c>
      <c r="K12" s="374">
        <v>10832</v>
      </c>
      <c r="L12" s="374">
        <v>12322</v>
      </c>
      <c r="M12" s="374">
        <v>12046</v>
      </c>
      <c r="N12" s="374">
        <v>13481</v>
      </c>
      <c r="O12" s="374">
        <v>13679</v>
      </c>
      <c r="P12" s="374">
        <v>14536</v>
      </c>
      <c r="Q12" s="535">
        <v>15033</v>
      </c>
      <c r="R12" s="374">
        <v>17059</v>
      </c>
      <c r="S12" s="374">
        <v>16687</v>
      </c>
      <c r="T12" s="374">
        <v>17558</v>
      </c>
      <c r="U12" s="406">
        <v>16901</v>
      </c>
      <c r="V12" s="406">
        <v>6075</v>
      </c>
      <c r="W12" s="1044">
        <v>16033</v>
      </c>
      <c r="X12" s="953">
        <v>25445</v>
      </c>
    </row>
    <row r="13" spans="1:24" ht="18" customHeight="1">
      <c r="A13" s="533" t="s">
        <v>118</v>
      </c>
      <c r="B13" s="519" t="s">
        <v>90</v>
      </c>
      <c r="C13" s="519" t="s">
        <v>90</v>
      </c>
      <c r="D13" s="519" t="s">
        <v>90</v>
      </c>
      <c r="E13" s="519" t="s">
        <v>90</v>
      </c>
      <c r="F13" s="519" t="s">
        <v>90</v>
      </c>
      <c r="G13" s="180">
        <f>G12/G9</f>
        <v>0.33903351400870296</v>
      </c>
      <c r="H13" s="180">
        <f>H12/H9</f>
        <v>0.44088949398683913</v>
      </c>
      <c r="I13" s="180">
        <f>I12/I9</f>
        <v>0.5792643439968916</v>
      </c>
      <c r="J13" s="180">
        <f>+J12/J9</f>
        <v>0.6359320046893318</v>
      </c>
      <c r="K13" s="180">
        <f>+K12/K9</f>
        <v>0.6383028874484384</v>
      </c>
      <c r="L13" s="180">
        <f>+L12/L9</f>
        <v>0.6625443596085601</v>
      </c>
      <c r="M13" s="180">
        <f>+M12/M9</f>
        <v>0.666555998229305</v>
      </c>
      <c r="N13" s="287">
        <v>0.69</v>
      </c>
      <c r="O13" s="534">
        <v>0.67</v>
      </c>
      <c r="P13" s="534">
        <f>+P12/P9</f>
        <v>0.6688138400662557</v>
      </c>
      <c r="Q13" s="534">
        <f>+Q12/Q9</f>
        <v>0.6532678602468277</v>
      </c>
      <c r="R13" s="180">
        <f>+R12/R9</f>
        <v>0.6989961073550502</v>
      </c>
      <c r="S13" s="287">
        <f>+S12/S9</f>
        <v>0.7329790037775631</v>
      </c>
      <c r="T13" s="536">
        <f>+T12/T9</f>
        <v>0.7375761394664986</v>
      </c>
      <c r="U13" s="449">
        <f>+U12/U9</f>
        <v>0.7444390609170595</v>
      </c>
      <c r="V13" s="449">
        <f>+V12/V9</f>
        <v>0.7653061224489796</v>
      </c>
      <c r="W13" s="449">
        <f>+W12/W9</f>
        <v>0.8106481949641016</v>
      </c>
      <c r="X13" s="926">
        <f>+X12/X9</f>
        <v>0.8253324683749594</v>
      </c>
    </row>
    <row r="14" spans="1:24" ht="18" customHeight="1">
      <c r="A14" s="358" t="s">
        <v>119</v>
      </c>
      <c r="B14" s="358">
        <f aca="true" t="shared" si="3" ref="B14:K14">B15+B16</f>
        <v>17445</v>
      </c>
      <c r="C14" s="358">
        <f t="shared" si="3"/>
        <v>15821</v>
      </c>
      <c r="D14" s="358">
        <f t="shared" si="3"/>
        <v>15486</v>
      </c>
      <c r="E14" s="358">
        <f t="shared" si="3"/>
        <v>15570</v>
      </c>
      <c r="F14" s="358">
        <f t="shared" si="3"/>
        <v>14655</v>
      </c>
      <c r="G14" s="358">
        <f t="shared" si="3"/>
        <v>14852</v>
      </c>
      <c r="H14" s="358">
        <f>H15+H16</f>
        <v>15124</v>
      </c>
      <c r="I14" s="358">
        <f>I15+I16</f>
        <v>13093</v>
      </c>
      <c r="J14" s="358">
        <f>J15+J16</f>
        <v>22825</v>
      </c>
      <c r="K14" s="358">
        <f t="shared" si="3"/>
        <v>19205</v>
      </c>
      <c r="L14" s="358">
        <f>L15+L16</f>
        <v>20464</v>
      </c>
      <c r="M14" s="358">
        <v>21028</v>
      </c>
      <c r="N14" s="358">
        <f aca="true" t="shared" si="4" ref="N14:X14">N15+N16</f>
        <v>20875</v>
      </c>
      <c r="O14" s="528">
        <f t="shared" si="4"/>
        <v>22145</v>
      </c>
      <c r="P14" s="528">
        <f t="shared" si="4"/>
        <v>22514</v>
      </c>
      <c r="Q14" s="528">
        <f t="shared" si="4"/>
        <v>24582</v>
      </c>
      <c r="R14" s="358">
        <f t="shared" si="4"/>
        <v>23560</v>
      </c>
      <c r="S14" s="358">
        <f t="shared" si="4"/>
        <v>23295</v>
      </c>
      <c r="T14" s="358">
        <f t="shared" si="4"/>
        <v>23238</v>
      </c>
      <c r="U14" s="397">
        <f t="shared" si="4"/>
        <v>23388</v>
      </c>
      <c r="V14" s="397">
        <f>V15+V16</f>
        <v>10191</v>
      </c>
      <c r="W14" s="397">
        <f>W15+W16</f>
        <v>18157</v>
      </c>
      <c r="X14" s="817">
        <f t="shared" si="4"/>
        <v>30745</v>
      </c>
    </row>
    <row r="15" spans="1:24" ht="18" customHeight="1">
      <c r="A15" s="529" t="s">
        <v>114</v>
      </c>
      <c r="B15" s="530">
        <v>1168</v>
      </c>
      <c r="C15" s="530">
        <v>913</v>
      </c>
      <c r="D15" s="530">
        <v>645</v>
      </c>
      <c r="E15" s="530">
        <v>639</v>
      </c>
      <c r="F15" s="530">
        <v>537</v>
      </c>
      <c r="G15" s="530">
        <v>432</v>
      </c>
      <c r="H15" s="530">
        <v>662</v>
      </c>
      <c r="I15" s="530">
        <v>316</v>
      </c>
      <c r="J15" s="530">
        <v>989</v>
      </c>
      <c r="K15" s="530">
        <v>379</v>
      </c>
      <c r="L15" s="530">
        <v>270</v>
      </c>
      <c r="M15" s="530">
        <v>489</v>
      </c>
      <c r="N15" s="530">
        <v>248</v>
      </c>
      <c r="O15" s="531">
        <v>233</v>
      </c>
      <c r="P15" s="532">
        <v>127</v>
      </c>
      <c r="Q15" s="532">
        <v>88</v>
      </c>
      <c r="R15" s="519">
        <v>61</v>
      </c>
      <c r="S15" s="519">
        <v>46</v>
      </c>
      <c r="T15" s="519">
        <v>37</v>
      </c>
      <c r="U15" s="782">
        <v>36</v>
      </c>
      <c r="V15" s="782">
        <v>10</v>
      </c>
      <c r="W15" s="1042">
        <v>0</v>
      </c>
      <c r="X15" s="976">
        <v>15</v>
      </c>
    </row>
    <row r="16" spans="1:24" ht="18" customHeight="1">
      <c r="A16" s="529" t="s">
        <v>115</v>
      </c>
      <c r="B16" s="530">
        <v>16277</v>
      </c>
      <c r="C16" s="530">
        <v>14908</v>
      </c>
      <c r="D16" s="530">
        <v>14841</v>
      </c>
      <c r="E16" s="530">
        <v>14931</v>
      </c>
      <c r="F16" s="530">
        <v>14118</v>
      </c>
      <c r="G16" s="530">
        <v>14420</v>
      </c>
      <c r="H16" s="530">
        <v>14462</v>
      </c>
      <c r="I16" s="530">
        <v>12777</v>
      </c>
      <c r="J16" s="530">
        <v>21836</v>
      </c>
      <c r="K16" s="530">
        <v>18826</v>
      </c>
      <c r="L16" s="530">
        <v>20194</v>
      </c>
      <c r="M16" s="530">
        <v>20539</v>
      </c>
      <c r="N16" s="530">
        <v>20627</v>
      </c>
      <c r="O16" s="531">
        <v>21912</v>
      </c>
      <c r="P16" s="531">
        <v>22387</v>
      </c>
      <c r="Q16" s="531">
        <v>24494</v>
      </c>
      <c r="R16" s="530">
        <v>23499</v>
      </c>
      <c r="S16" s="530">
        <v>23249</v>
      </c>
      <c r="T16" s="530">
        <v>23201</v>
      </c>
      <c r="U16" s="401">
        <v>23352</v>
      </c>
      <c r="V16" s="401">
        <v>10181</v>
      </c>
      <c r="W16" s="1043">
        <v>18157</v>
      </c>
      <c r="X16" s="823">
        <v>30730</v>
      </c>
    </row>
    <row r="17" spans="1:24" ht="18" customHeight="1">
      <c r="A17" s="358" t="s">
        <v>654</v>
      </c>
      <c r="B17" s="358">
        <f>+B18+B23+B25</f>
        <v>3015</v>
      </c>
      <c r="C17" s="358">
        <f aca="true" t="shared" si="5" ref="C17:R17">+C18+C23+C25</f>
        <v>4462</v>
      </c>
      <c r="D17" s="358">
        <f t="shared" si="5"/>
        <v>4364</v>
      </c>
      <c r="E17" s="358">
        <f t="shared" si="5"/>
        <v>3904</v>
      </c>
      <c r="F17" s="358">
        <f t="shared" si="5"/>
        <v>4931</v>
      </c>
      <c r="G17" s="358">
        <f t="shared" si="5"/>
        <v>5164</v>
      </c>
      <c r="H17" s="358">
        <f t="shared" si="5"/>
        <v>5406</v>
      </c>
      <c r="I17" s="358">
        <f t="shared" si="5"/>
        <v>5642</v>
      </c>
      <c r="J17" s="358">
        <f t="shared" si="5"/>
        <v>6121</v>
      </c>
      <c r="K17" s="358">
        <f t="shared" si="5"/>
        <v>6599</v>
      </c>
      <c r="L17" s="358">
        <f t="shared" si="5"/>
        <v>7054.53333333333</v>
      </c>
      <c r="M17" s="358">
        <f t="shared" si="5"/>
        <v>7482</v>
      </c>
      <c r="N17" s="358">
        <f t="shared" si="5"/>
        <v>7346</v>
      </c>
      <c r="O17" s="358">
        <f t="shared" si="5"/>
        <v>7961</v>
      </c>
      <c r="P17" s="358">
        <f t="shared" si="5"/>
        <v>8676</v>
      </c>
      <c r="Q17" s="358">
        <f t="shared" si="5"/>
        <v>9101</v>
      </c>
      <c r="R17" s="358">
        <f t="shared" si="5"/>
        <v>9756</v>
      </c>
      <c r="S17" s="358">
        <f aca="true" t="shared" si="6" ref="S17:X17">+S18+S23+S25</f>
        <v>9469</v>
      </c>
      <c r="T17" s="358">
        <f t="shared" si="6"/>
        <v>9950</v>
      </c>
      <c r="U17" s="397">
        <f t="shared" si="6"/>
        <v>10162</v>
      </c>
      <c r="V17" s="397">
        <f t="shared" si="6"/>
        <v>7448</v>
      </c>
      <c r="W17" s="397">
        <f t="shared" si="6"/>
        <v>11347</v>
      </c>
      <c r="X17" s="817">
        <f t="shared" si="6"/>
        <v>9183</v>
      </c>
    </row>
    <row r="18" spans="1:24" ht="18" customHeight="1">
      <c r="A18" s="529" t="s">
        <v>505</v>
      </c>
      <c r="B18" s="530">
        <f>+B19+B21</f>
        <v>1584</v>
      </c>
      <c r="C18" s="530">
        <f aca="true" t="shared" si="7" ref="C18:R18">+C19+C21</f>
        <v>2932</v>
      </c>
      <c r="D18" s="530">
        <f t="shared" si="7"/>
        <v>2710</v>
      </c>
      <c r="E18" s="530">
        <f t="shared" si="7"/>
        <v>2315</v>
      </c>
      <c r="F18" s="530">
        <f t="shared" si="7"/>
        <v>2806</v>
      </c>
      <c r="G18" s="530">
        <f t="shared" si="7"/>
        <v>2679</v>
      </c>
      <c r="H18" s="530">
        <f t="shared" si="7"/>
        <v>2856</v>
      </c>
      <c r="I18" s="530">
        <f t="shared" si="7"/>
        <v>3144</v>
      </c>
      <c r="J18" s="530">
        <f t="shared" si="7"/>
        <v>3492</v>
      </c>
      <c r="K18" s="530">
        <f t="shared" si="7"/>
        <v>3497</v>
      </c>
      <c r="L18" s="530">
        <f t="shared" si="7"/>
        <v>3735.53333333333</v>
      </c>
      <c r="M18" s="530">
        <f t="shared" si="7"/>
        <v>3922</v>
      </c>
      <c r="N18" s="530">
        <f t="shared" si="7"/>
        <v>3925</v>
      </c>
      <c r="O18" s="530">
        <f t="shared" si="7"/>
        <v>4109</v>
      </c>
      <c r="P18" s="530">
        <f t="shared" si="7"/>
        <v>4807</v>
      </c>
      <c r="Q18" s="530">
        <f t="shared" si="7"/>
        <v>5087</v>
      </c>
      <c r="R18" s="530">
        <f t="shared" si="7"/>
        <v>5327</v>
      </c>
      <c r="S18" s="530">
        <f>+S19+S21</f>
        <v>5240</v>
      </c>
      <c r="T18" s="530">
        <f>+T19+T21</f>
        <v>5630</v>
      </c>
      <c r="U18" s="401">
        <f>SUM(U21,U19)</f>
        <v>5581</v>
      </c>
      <c r="V18" s="401">
        <f>SUM(V21,V19)</f>
        <v>4543</v>
      </c>
      <c r="W18" s="1043">
        <f>SUM(W21,W19)</f>
        <v>7736</v>
      </c>
      <c r="X18" s="823">
        <f>SUM(X21,X19)</f>
        <v>5091</v>
      </c>
    </row>
    <row r="19" spans="1:24" ht="18" customHeight="1">
      <c r="A19" s="533" t="s">
        <v>120</v>
      </c>
      <c r="B19" s="530">
        <v>1406</v>
      </c>
      <c r="C19" s="530">
        <v>2690</v>
      </c>
      <c r="D19" s="530">
        <v>2456</v>
      </c>
      <c r="E19" s="530">
        <v>1949</v>
      </c>
      <c r="F19" s="530">
        <v>2467</v>
      </c>
      <c r="G19" s="530">
        <v>2224</v>
      </c>
      <c r="H19" s="530">
        <v>2267</v>
      </c>
      <c r="I19" s="530">
        <v>2336</v>
      </c>
      <c r="J19" s="530">
        <v>2490</v>
      </c>
      <c r="K19" s="530">
        <v>2512</v>
      </c>
      <c r="L19" s="530">
        <v>2568.53333333333</v>
      </c>
      <c r="M19" s="530">
        <v>2774</v>
      </c>
      <c r="N19" s="530">
        <v>2701</v>
      </c>
      <c r="O19" s="530">
        <v>3003</v>
      </c>
      <c r="P19" s="530">
        <v>3292</v>
      </c>
      <c r="Q19" s="531">
        <v>3521</v>
      </c>
      <c r="R19" s="530">
        <v>3662</v>
      </c>
      <c r="S19" s="530">
        <v>3546</v>
      </c>
      <c r="T19" s="530">
        <v>3897</v>
      </c>
      <c r="U19" s="401">
        <v>3996</v>
      </c>
      <c r="V19" s="401">
        <v>3803</v>
      </c>
      <c r="W19" s="1043">
        <v>6684</v>
      </c>
      <c r="X19" s="823">
        <v>3007</v>
      </c>
    </row>
    <row r="20" spans="1:24" ht="18" customHeight="1">
      <c r="A20" s="537" t="s">
        <v>69</v>
      </c>
      <c r="B20" s="180">
        <v>0.4359886201991465</v>
      </c>
      <c r="C20" s="180">
        <v>0.4446096654275093</v>
      </c>
      <c r="D20" s="180">
        <v>0.4153094462540717</v>
      </c>
      <c r="E20" s="180">
        <v>0.44330425859415085</v>
      </c>
      <c r="F20" s="180">
        <v>0.45277665180381027</v>
      </c>
      <c r="G20" s="180">
        <v>0.4433453237410072</v>
      </c>
      <c r="H20" s="180">
        <v>0.4362593736215262</v>
      </c>
      <c r="I20" s="180">
        <v>0.4426369863013699</v>
      </c>
      <c r="J20" s="180">
        <v>0.4706827309236948</v>
      </c>
      <c r="K20" s="180">
        <v>0.4661624203821656</v>
      </c>
      <c r="L20" s="180">
        <v>0.49279875437913584</v>
      </c>
      <c r="M20" s="180">
        <v>0.5039653929343908</v>
      </c>
      <c r="N20" s="287">
        <v>0.5024065161051462</v>
      </c>
      <c r="O20" s="287">
        <v>0.5221445221445221</v>
      </c>
      <c r="P20" s="180">
        <v>0.6731470230862697</v>
      </c>
      <c r="Q20" s="534">
        <v>0.5805168986083499</v>
      </c>
      <c r="R20" s="180">
        <v>0.6551064991807756</v>
      </c>
      <c r="S20" s="287">
        <v>0.5273547659334461</v>
      </c>
      <c r="T20" s="180">
        <v>0.5155</v>
      </c>
      <c r="U20" s="449">
        <v>0.528</v>
      </c>
      <c r="V20" s="449">
        <v>0.5369</v>
      </c>
      <c r="W20" s="449">
        <v>0.5431</v>
      </c>
      <c r="X20" s="926">
        <v>0.524</v>
      </c>
    </row>
    <row r="21" spans="1:24" ht="18" customHeight="1">
      <c r="A21" s="533" t="s">
        <v>121</v>
      </c>
      <c r="B21" s="530">
        <v>178</v>
      </c>
      <c r="C21" s="530">
        <v>242</v>
      </c>
      <c r="D21" s="530">
        <v>254</v>
      </c>
      <c r="E21" s="530">
        <v>366</v>
      </c>
      <c r="F21" s="530">
        <v>339</v>
      </c>
      <c r="G21" s="530">
        <v>455</v>
      </c>
      <c r="H21" s="530">
        <v>589</v>
      </c>
      <c r="I21" s="530">
        <v>808</v>
      </c>
      <c r="J21" s="530">
        <v>1002</v>
      </c>
      <c r="K21" s="530">
        <v>985</v>
      </c>
      <c r="L21" s="530">
        <v>1167</v>
      </c>
      <c r="M21" s="530">
        <v>1148</v>
      </c>
      <c r="N21" s="530">
        <v>1224</v>
      </c>
      <c r="O21" s="530">
        <v>1106</v>
      </c>
      <c r="P21" s="530">
        <v>1515</v>
      </c>
      <c r="Q21" s="531">
        <v>1566</v>
      </c>
      <c r="R21" s="530">
        <v>1665</v>
      </c>
      <c r="S21" s="530">
        <v>1694</v>
      </c>
      <c r="T21" s="530">
        <v>1733</v>
      </c>
      <c r="U21" s="401">
        <v>1585</v>
      </c>
      <c r="V21" s="401">
        <v>740</v>
      </c>
      <c r="W21" s="1043">
        <v>1052</v>
      </c>
      <c r="X21" s="823">
        <v>2084</v>
      </c>
    </row>
    <row r="22" spans="1:24" ht="18" customHeight="1">
      <c r="A22" s="537" t="s">
        <v>69</v>
      </c>
      <c r="B22" s="538">
        <v>0.43820224719101125</v>
      </c>
      <c r="C22" s="538">
        <v>0.4049586776859504</v>
      </c>
      <c r="D22" s="538">
        <v>0.421259842519685</v>
      </c>
      <c r="E22" s="538">
        <v>0.43989071038251365</v>
      </c>
      <c r="F22" s="538">
        <v>0.5368731563421829</v>
      </c>
      <c r="G22" s="538">
        <v>0.4879120879120879</v>
      </c>
      <c r="H22" s="538">
        <v>0.4940577249575552</v>
      </c>
      <c r="I22" s="538">
        <v>0.5297029702970297</v>
      </c>
      <c r="J22" s="538">
        <v>0.5449101796407185</v>
      </c>
      <c r="K22" s="538">
        <v>0.6060913705583756</v>
      </c>
      <c r="L22" s="538">
        <v>0.570694087403599</v>
      </c>
      <c r="M22" s="538">
        <v>0.6001742160278746</v>
      </c>
      <c r="N22" s="538">
        <v>0.6021241830065359</v>
      </c>
      <c r="O22" s="538">
        <v>0.5587703435804702</v>
      </c>
      <c r="P22" s="538">
        <v>0.671947194719472</v>
      </c>
      <c r="Q22" s="538">
        <v>0.6577266922094508</v>
      </c>
      <c r="R22" s="538">
        <v>0.6228228228228229</v>
      </c>
      <c r="S22" s="539">
        <v>0.641086186540732</v>
      </c>
      <c r="T22" s="538">
        <v>0.636</v>
      </c>
      <c r="U22" s="783">
        <v>0.603</v>
      </c>
      <c r="V22" s="783">
        <v>0.623</v>
      </c>
      <c r="W22" s="783">
        <v>0.5913</v>
      </c>
      <c r="X22" s="977">
        <v>0.607</v>
      </c>
    </row>
    <row r="23" spans="1:24" ht="18" customHeight="1">
      <c r="A23" s="529" t="s">
        <v>83</v>
      </c>
      <c r="B23" s="530">
        <v>988</v>
      </c>
      <c r="C23" s="530">
        <v>1134</v>
      </c>
      <c r="D23" s="530">
        <v>1214</v>
      </c>
      <c r="E23" s="530">
        <v>1162</v>
      </c>
      <c r="F23" s="530">
        <v>1647</v>
      </c>
      <c r="G23" s="530">
        <v>1945</v>
      </c>
      <c r="H23" s="530">
        <v>2018</v>
      </c>
      <c r="I23" s="530">
        <v>1891</v>
      </c>
      <c r="J23" s="530">
        <v>2021</v>
      </c>
      <c r="K23" s="530">
        <v>2450</v>
      </c>
      <c r="L23" s="530">
        <v>2681</v>
      </c>
      <c r="M23" s="530">
        <v>2882</v>
      </c>
      <c r="N23" s="530">
        <v>2690</v>
      </c>
      <c r="O23" s="530">
        <v>3110</v>
      </c>
      <c r="P23" s="530">
        <v>3057</v>
      </c>
      <c r="Q23" s="531">
        <v>3147</v>
      </c>
      <c r="R23" s="530">
        <v>3561</v>
      </c>
      <c r="S23" s="530">
        <v>3284</v>
      </c>
      <c r="T23" s="530">
        <v>3345</v>
      </c>
      <c r="U23" s="401">
        <v>3689</v>
      </c>
      <c r="V23" s="401">
        <v>2194</v>
      </c>
      <c r="W23" s="1043">
        <v>2771</v>
      </c>
      <c r="X23" s="823">
        <v>3162</v>
      </c>
    </row>
    <row r="24" spans="1:24" ht="18" customHeight="1">
      <c r="A24" s="537" t="s">
        <v>69</v>
      </c>
      <c r="B24" s="180">
        <v>0.451417004048583</v>
      </c>
      <c r="C24" s="180">
        <v>0.45984112974404234</v>
      </c>
      <c r="D24" s="180">
        <v>0.4652892561983471</v>
      </c>
      <c r="E24" s="180">
        <v>0.4776247848537005</v>
      </c>
      <c r="F24" s="180">
        <v>0.46569520340012144</v>
      </c>
      <c r="G24" s="180">
        <v>0.44113110539845757</v>
      </c>
      <c r="H24" s="180">
        <v>0.4732408325074331</v>
      </c>
      <c r="I24" s="180">
        <v>0.4775251189846642</v>
      </c>
      <c r="J24" s="180">
        <v>0.4933201385452746</v>
      </c>
      <c r="K24" s="180">
        <v>0.4889795918367347</v>
      </c>
      <c r="L24" s="180">
        <v>0.48414770607982094</v>
      </c>
      <c r="M24" s="180">
        <v>0.5117973629424011</v>
      </c>
      <c r="N24" s="287">
        <v>0.5029739776951673</v>
      </c>
      <c r="O24" s="287">
        <v>0.48038585209003215</v>
      </c>
      <c r="P24" s="287">
        <v>0.48053647366699376</v>
      </c>
      <c r="Q24" s="534">
        <v>0.48871941531617413</v>
      </c>
      <c r="R24" s="180">
        <v>0.4953664700926706</v>
      </c>
      <c r="S24" s="287">
        <v>0.4875152253349574</v>
      </c>
      <c r="T24" s="180">
        <v>0.487593423019432</v>
      </c>
      <c r="U24" s="449">
        <v>0.485</v>
      </c>
      <c r="V24" s="449">
        <v>0.4795</v>
      </c>
      <c r="W24" s="449">
        <v>0.467</v>
      </c>
      <c r="X24" s="926">
        <v>0.4804</v>
      </c>
    </row>
    <row r="25" spans="1:24" ht="18" customHeight="1">
      <c r="A25" s="529" t="s">
        <v>84</v>
      </c>
      <c r="B25" s="530">
        <v>443</v>
      </c>
      <c r="C25" s="530">
        <v>396</v>
      </c>
      <c r="D25" s="530">
        <v>440</v>
      </c>
      <c r="E25" s="530">
        <v>427</v>
      </c>
      <c r="F25" s="530">
        <v>478</v>
      </c>
      <c r="G25" s="530">
        <v>540</v>
      </c>
      <c r="H25" s="530">
        <v>532</v>
      </c>
      <c r="I25" s="530">
        <v>607</v>
      </c>
      <c r="J25" s="530">
        <v>608</v>
      </c>
      <c r="K25" s="530">
        <v>652</v>
      </c>
      <c r="L25" s="530">
        <v>638</v>
      </c>
      <c r="M25" s="530">
        <v>678</v>
      </c>
      <c r="N25" s="530">
        <v>731</v>
      </c>
      <c r="O25" s="530">
        <v>742</v>
      </c>
      <c r="P25" s="530">
        <v>812</v>
      </c>
      <c r="Q25" s="531">
        <v>867</v>
      </c>
      <c r="R25" s="530">
        <v>868</v>
      </c>
      <c r="S25" s="530">
        <v>945</v>
      </c>
      <c r="T25" s="530">
        <v>975</v>
      </c>
      <c r="U25" s="401">
        <v>892</v>
      </c>
      <c r="V25" s="401">
        <v>711</v>
      </c>
      <c r="W25" s="1043">
        <v>840</v>
      </c>
      <c r="X25" s="823">
        <v>930</v>
      </c>
    </row>
    <row r="26" spans="1:24" ht="18" customHeight="1">
      <c r="A26" s="537" t="s">
        <v>69</v>
      </c>
      <c r="B26" s="180">
        <v>0.4040632054176072</v>
      </c>
      <c r="C26" s="180">
        <v>0.380352644836272</v>
      </c>
      <c r="D26" s="180">
        <v>0.47072072072072074</v>
      </c>
      <c r="E26" s="180">
        <v>0.45901639344262296</v>
      </c>
      <c r="F26" s="180">
        <v>0.4769874476987448</v>
      </c>
      <c r="G26" s="180">
        <v>0.39444444444444443</v>
      </c>
      <c r="H26" s="180">
        <v>0.4849624060150376</v>
      </c>
      <c r="I26" s="180">
        <v>0.4052718286655684</v>
      </c>
      <c r="J26" s="180">
        <v>0.44901315789473684</v>
      </c>
      <c r="K26" s="180">
        <v>0.44171779141104295</v>
      </c>
      <c r="L26" s="180">
        <v>0.45768025078369906</v>
      </c>
      <c r="M26" s="180">
        <v>0.44837758112094395</v>
      </c>
      <c r="N26" s="287">
        <v>0.454172366621067</v>
      </c>
      <c r="O26" s="287">
        <v>0.47035040431266845</v>
      </c>
      <c r="P26" s="287">
        <v>0.4642857142857143</v>
      </c>
      <c r="Q26" s="534">
        <v>0.46366782006920415</v>
      </c>
      <c r="R26" s="180">
        <v>0.47465437788018433</v>
      </c>
      <c r="S26" s="287">
        <v>0.4846560846560847</v>
      </c>
      <c r="T26" s="180">
        <v>0.49025641025641026</v>
      </c>
      <c r="U26" s="449">
        <v>0.471</v>
      </c>
      <c r="V26" s="449">
        <v>0.4374</v>
      </c>
      <c r="W26" s="449">
        <v>0.443</v>
      </c>
      <c r="X26" s="926">
        <v>0.4903</v>
      </c>
    </row>
    <row r="27" spans="2:7" ht="12.75">
      <c r="B27" s="540"/>
      <c r="C27" s="540"/>
      <c r="D27" s="360"/>
      <c r="E27" s="540"/>
      <c r="F27" s="360"/>
      <c r="G27" s="360"/>
    </row>
    <row r="28" spans="1:7" ht="12.75">
      <c r="A28" s="55" t="s">
        <v>761</v>
      </c>
      <c r="B28" s="540"/>
      <c r="C28" s="540"/>
      <c r="D28" s="360"/>
      <c r="E28" s="540"/>
      <c r="F28" s="360"/>
      <c r="G28" s="360"/>
    </row>
    <row r="29" spans="1:11" ht="12.75">
      <c r="A29" s="55" t="s">
        <v>123</v>
      </c>
      <c r="B29" s="540"/>
      <c r="C29" s="540"/>
      <c r="D29" s="540"/>
      <c r="E29" s="360"/>
      <c r="F29" s="360"/>
      <c r="G29" s="360"/>
      <c r="H29" s="540"/>
      <c r="I29" s="540"/>
      <c r="J29" s="540"/>
      <c r="K29" s="540"/>
    </row>
    <row r="30" spans="1:11" ht="12.75">
      <c r="A30" s="141" t="s">
        <v>124</v>
      </c>
      <c r="B30" s="450"/>
      <c r="C30" s="450"/>
      <c r="D30" s="450"/>
      <c r="E30" s="450"/>
      <c r="F30" s="450"/>
      <c r="G30" s="450"/>
      <c r="H30" s="360"/>
      <c r="I30" s="360"/>
      <c r="J30" s="360"/>
      <c r="K30" s="360"/>
    </row>
    <row r="31" spans="1:11" ht="12.75">
      <c r="A31" s="141"/>
      <c r="B31" s="450"/>
      <c r="C31" s="450"/>
      <c r="D31" s="450"/>
      <c r="E31" s="450"/>
      <c r="F31" s="450"/>
      <c r="G31" s="450"/>
      <c r="H31" s="360"/>
      <c r="I31" s="360"/>
      <c r="J31" s="360"/>
      <c r="K31" s="360"/>
    </row>
    <row r="32" spans="1:11" ht="12.75">
      <c r="A32" s="53" t="s">
        <v>59</v>
      </c>
      <c r="B32" s="520"/>
      <c r="C32" s="520"/>
      <c r="D32" s="520"/>
      <c r="E32" s="520"/>
      <c r="F32" s="520"/>
      <c r="G32" s="520"/>
      <c r="H32" s="520"/>
      <c r="I32" s="520"/>
      <c r="J32" s="520"/>
      <c r="K32" s="520"/>
    </row>
    <row r="33" spans="1:24" ht="12.75">
      <c r="A33" s="1126" t="s">
        <v>842</v>
      </c>
      <c r="B33" s="1126"/>
      <c r="C33" s="1126"/>
      <c r="D33" s="1126"/>
      <c r="E33" s="1126"/>
      <c r="F33" s="1126"/>
      <c r="G33" s="1126"/>
      <c r="H33" s="1126"/>
      <c r="I33" s="1126"/>
      <c r="J33" s="1126"/>
      <c r="K33" s="1126"/>
      <c r="L33" s="1126"/>
      <c r="M33" s="1126"/>
      <c r="N33" s="1126"/>
      <c r="O33" s="1126"/>
      <c r="P33" s="1126"/>
      <c r="Q33" s="1126"/>
      <c r="R33" s="1126"/>
      <c r="S33" s="1126"/>
      <c r="T33" s="1126"/>
      <c r="U33" s="1126"/>
      <c r="V33" s="1126"/>
      <c r="W33" s="1126"/>
      <c r="X33" s="1125"/>
    </row>
    <row r="34" spans="1:24" s="472" customFormat="1" ht="12.75">
      <c r="A34" s="1126" t="s">
        <v>843</v>
      </c>
      <c r="B34" s="1126"/>
      <c r="C34" s="1126"/>
      <c r="D34" s="1126"/>
      <c r="E34" s="1126"/>
      <c r="F34" s="1126"/>
      <c r="G34" s="1126"/>
      <c r="H34" s="1126"/>
      <c r="I34" s="1126"/>
      <c r="J34" s="1126"/>
      <c r="K34" s="1126"/>
      <c r="L34" s="1126"/>
      <c r="M34" s="1126"/>
      <c r="N34" s="1126"/>
      <c r="O34" s="1126"/>
      <c r="P34" s="1126"/>
      <c r="Q34" s="1126"/>
      <c r="R34" s="1126"/>
      <c r="S34" s="1126"/>
      <c r="T34" s="1126"/>
      <c r="U34" s="1126"/>
      <c r="V34" s="1126"/>
      <c r="W34" s="1126"/>
      <c r="X34" s="1125"/>
    </row>
    <row r="35" spans="2:11" ht="12.75">
      <c r="B35" s="451"/>
      <c r="C35" s="451"/>
      <c r="D35" s="451"/>
      <c r="E35" s="451"/>
      <c r="F35" s="451"/>
      <c r="G35" s="451"/>
      <c r="H35" s="27"/>
      <c r="I35" s="27"/>
      <c r="J35" s="27"/>
      <c r="K35" s="27"/>
    </row>
    <row r="36" spans="2:6" ht="12.75">
      <c r="B36" s="520"/>
      <c r="C36" s="520"/>
      <c r="D36" s="520"/>
      <c r="E36" s="520"/>
      <c r="F36" s="520"/>
    </row>
    <row r="37" spans="8:11" ht="12.75">
      <c r="H37" s="27"/>
      <c r="I37" s="27"/>
      <c r="J37" s="27"/>
      <c r="K37" s="27"/>
    </row>
  </sheetData>
  <sheetProtection/>
  <mergeCells count="5">
    <mergeCell ref="A1:X1"/>
    <mergeCell ref="A3:X3"/>
    <mergeCell ref="A4:X4"/>
    <mergeCell ref="A33:X33"/>
    <mergeCell ref="A34:X34"/>
  </mergeCells>
  <printOptions horizontalCentered="1"/>
  <pageMargins left="0.7874015748031497" right="0.7874015748031497" top="0.984251968503937" bottom="0.984251968503937" header="0" footer="0"/>
  <pageSetup fitToHeight="1" fitToWidth="1" horizontalDpi="600" verticalDpi="600" orientation="landscape" scale="46" r:id="rId1"/>
  <ignoredErrors>
    <ignoredError sqref="G9:S9" formulaRange="1"/>
  </ignoredErrors>
</worksheet>
</file>

<file path=xl/worksheets/sheet11.xml><?xml version="1.0" encoding="utf-8"?>
<worksheet xmlns="http://schemas.openxmlformats.org/spreadsheetml/2006/main" xmlns:r="http://schemas.openxmlformats.org/officeDocument/2006/relationships">
  <sheetPr>
    <tabColor rgb="FF0096FF"/>
    <pageSetUpPr fitToPage="1"/>
  </sheetPr>
  <dimension ref="A1:Y23"/>
  <sheetViews>
    <sheetView zoomScalePageLayoutView="0" workbookViewId="0" topLeftCell="B1">
      <selection activeCell="A1" sqref="A1:Y1"/>
    </sheetView>
  </sheetViews>
  <sheetFormatPr defaultColWidth="10.8515625" defaultRowHeight="12.75"/>
  <cols>
    <col min="1" max="1" width="51.140625" style="2" customWidth="1"/>
    <col min="2" max="16" width="9.421875" style="2" customWidth="1"/>
    <col min="17" max="19" width="9.421875" style="0" customWidth="1"/>
    <col min="20" max="22" width="9.421875" style="2" customWidth="1"/>
    <col min="23" max="23" width="9.421875" style="386" customWidth="1"/>
    <col min="24" max="24" width="9.421875" style="2" customWidth="1"/>
    <col min="25" max="25" width="9.421875" style="461" customWidth="1"/>
    <col min="26" max="16384" width="10.8515625" style="2" customWidth="1"/>
  </cols>
  <sheetData>
    <row r="1" spans="1:25" ht="12.75">
      <c r="A1" s="1113" t="s">
        <v>125</v>
      </c>
      <c r="B1" s="1113"/>
      <c r="C1" s="1113"/>
      <c r="D1" s="1113"/>
      <c r="E1" s="1113"/>
      <c r="F1" s="1113"/>
      <c r="G1" s="1113"/>
      <c r="H1" s="1113"/>
      <c r="I1" s="1113"/>
      <c r="J1" s="1113"/>
      <c r="K1" s="1113"/>
      <c r="L1" s="1113"/>
      <c r="M1" s="1113"/>
      <c r="N1" s="1113"/>
      <c r="O1" s="1113"/>
      <c r="P1" s="1113"/>
      <c r="Q1" s="1113"/>
      <c r="R1" s="1113"/>
      <c r="S1" s="1113"/>
      <c r="T1" s="1113"/>
      <c r="U1" s="1113"/>
      <c r="V1" s="1113"/>
      <c r="W1" s="1113"/>
      <c r="X1" s="1113"/>
      <c r="Y1" s="1113"/>
    </row>
    <row r="3" spans="1:25" ht="18" customHeight="1">
      <c r="A3" s="1109" t="s">
        <v>685</v>
      </c>
      <c r="B3" s="1109"/>
      <c r="C3" s="1109"/>
      <c r="D3" s="1109"/>
      <c r="E3" s="1109"/>
      <c r="F3" s="1109"/>
      <c r="G3" s="1109"/>
      <c r="H3" s="1109"/>
      <c r="I3" s="1109"/>
      <c r="J3" s="1109"/>
      <c r="K3" s="1109"/>
      <c r="L3" s="1109"/>
      <c r="M3" s="1109"/>
      <c r="N3" s="1109"/>
      <c r="O3" s="1109"/>
      <c r="P3" s="1109"/>
      <c r="Q3" s="1109"/>
      <c r="R3" s="1109"/>
      <c r="S3" s="1109"/>
      <c r="T3" s="1109"/>
      <c r="U3" s="1109"/>
      <c r="V3" s="1109"/>
      <c r="W3" s="1109"/>
      <c r="X3" s="1109"/>
      <c r="Y3" s="1109"/>
    </row>
    <row r="4" spans="1:25" ht="18" customHeight="1">
      <c r="A4" s="1111" t="s">
        <v>778</v>
      </c>
      <c r="B4" s="1111"/>
      <c r="C4" s="1111"/>
      <c r="D4" s="1111"/>
      <c r="E4" s="1111"/>
      <c r="F4" s="1111"/>
      <c r="G4" s="1111"/>
      <c r="H4" s="1111"/>
      <c r="I4" s="1111"/>
      <c r="J4" s="1111"/>
      <c r="K4" s="1111"/>
      <c r="L4" s="1111"/>
      <c r="M4" s="1111"/>
      <c r="N4" s="1111"/>
      <c r="O4" s="1111"/>
      <c r="P4" s="1111"/>
      <c r="Q4" s="1111"/>
      <c r="R4" s="1111"/>
      <c r="S4" s="1111"/>
      <c r="T4" s="1111"/>
      <c r="U4" s="1111"/>
      <c r="V4" s="1111"/>
      <c r="W4" s="1111"/>
      <c r="X4" s="1111"/>
      <c r="Y4" s="1111"/>
    </row>
    <row r="5" spans="1:25" ht="18" customHeight="1">
      <c r="A5" s="5"/>
      <c r="B5" s="5"/>
      <c r="C5" s="5"/>
      <c r="D5" s="5"/>
      <c r="E5" s="5"/>
      <c r="F5" s="5"/>
      <c r="G5" s="5"/>
      <c r="H5" s="5"/>
      <c r="I5" s="5"/>
      <c r="J5" s="5"/>
      <c r="K5" s="5"/>
      <c r="L5" s="5"/>
      <c r="M5" s="5"/>
      <c r="N5" s="5"/>
      <c r="O5" s="5"/>
      <c r="P5" s="5"/>
      <c r="Q5" s="17"/>
      <c r="R5" s="17"/>
      <c r="S5" s="17"/>
      <c r="T5" s="5"/>
      <c r="U5" s="5"/>
      <c r="V5" s="5"/>
      <c r="W5" s="391"/>
      <c r="X5" s="5"/>
      <c r="Y5" s="473"/>
    </row>
    <row r="6" spans="1:25" ht="18" customHeight="1">
      <c r="A6" s="3"/>
      <c r="B6" s="290">
        <v>2000</v>
      </c>
      <c r="C6" s="290">
        <v>2001</v>
      </c>
      <c r="D6" s="290">
        <v>2002</v>
      </c>
      <c r="E6" s="290">
        <v>2003</v>
      </c>
      <c r="F6" s="290">
        <v>2004</v>
      </c>
      <c r="G6" s="290">
        <v>2005</v>
      </c>
      <c r="H6" s="290">
        <v>2006</v>
      </c>
      <c r="I6" s="290">
        <v>2007</v>
      </c>
      <c r="J6" s="290">
        <v>2008</v>
      </c>
      <c r="K6" s="290">
        <v>2009</v>
      </c>
      <c r="L6" s="290">
        <v>2010</v>
      </c>
      <c r="M6" s="290">
        <v>2011</v>
      </c>
      <c r="N6" s="290">
        <v>2012</v>
      </c>
      <c r="O6" s="290">
        <v>2013</v>
      </c>
      <c r="P6" s="290">
        <v>2014</v>
      </c>
      <c r="Q6" s="300">
        <v>2015</v>
      </c>
      <c r="R6" s="300">
        <v>2016</v>
      </c>
      <c r="S6" s="300">
        <v>2017</v>
      </c>
      <c r="T6" s="300">
        <v>2018</v>
      </c>
      <c r="U6" s="300">
        <v>2019</v>
      </c>
      <c r="V6" s="300">
        <v>2020</v>
      </c>
      <c r="W6" s="807">
        <v>2021</v>
      </c>
      <c r="X6" s="300">
        <v>2022</v>
      </c>
      <c r="Y6" s="798">
        <v>2023</v>
      </c>
    </row>
    <row r="7" spans="1:25" ht="18" customHeight="1">
      <c r="A7" s="173" t="s">
        <v>74</v>
      </c>
      <c r="B7" s="173"/>
      <c r="C7" s="173"/>
      <c r="D7" s="173"/>
      <c r="E7" s="173"/>
      <c r="F7" s="173"/>
      <c r="G7" s="173"/>
      <c r="H7" s="173"/>
      <c r="I7" s="173"/>
      <c r="J7" s="173"/>
      <c r="K7" s="173"/>
      <c r="L7" s="173"/>
      <c r="M7" s="173"/>
      <c r="N7" s="173"/>
      <c r="O7" s="173"/>
      <c r="P7" s="173"/>
      <c r="Q7" s="301"/>
      <c r="R7" s="301"/>
      <c r="S7" s="301"/>
      <c r="T7" s="301"/>
      <c r="U7" s="301"/>
      <c r="V7" s="301"/>
      <c r="W7" s="808"/>
      <c r="X7" s="301"/>
      <c r="Y7" s="799"/>
    </row>
    <row r="8" spans="1:25" ht="18" customHeight="1">
      <c r="A8" s="174" t="s">
        <v>127</v>
      </c>
      <c r="B8" s="181">
        <v>36</v>
      </c>
      <c r="C8" s="181">
        <v>36</v>
      </c>
      <c r="D8" s="181">
        <v>36</v>
      </c>
      <c r="E8" s="181">
        <v>37</v>
      </c>
      <c r="F8" s="181">
        <v>38</v>
      </c>
      <c r="G8" s="181">
        <v>40</v>
      </c>
      <c r="H8" s="181">
        <v>40</v>
      </c>
      <c r="I8" s="181">
        <v>40</v>
      </c>
      <c r="J8" s="181">
        <v>40</v>
      </c>
      <c r="K8" s="181">
        <v>40</v>
      </c>
      <c r="L8" s="181">
        <v>40</v>
      </c>
      <c r="M8" s="181">
        <v>40</v>
      </c>
      <c r="N8" s="181">
        <v>40</v>
      </c>
      <c r="O8" s="181">
        <v>40</v>
      </c>
      <c r="P8" s="181">
        <v>40</v>
      </c>
      <c r="Q8" s="302">
        <v>41</v>
      </c>
      <c r="R8" s="302">
        <v>41</v>
      </c>
      <c r="S8" s="302">
        <v>41</v>
      </c>
      <c r="T8" s="446">
        <v>41</v>
      </c>
      <c r="U8" s="446">
        <v>41</v>
      </c>
      <c r="V8" s="446">
        <v>42</v>
      </c>
      <c r="W8" s="454">
        <v>42</v>
      </c>
      <c r="X8" s="446">
        <v>42</v>
      </c>
      <c r="Y8" s="800">
        <v>42</v>
      </c>
    </row>
    <row r="9" spans="1:25" ht="18" customHeight="1">
      <c r="A9" s="179" t="s">
        <v>128</v>
      </c>
      <c r="B9" s="181">
        <v>33</v>
      </c>
      <c r="C9" s="181">
        <v>33</v>
      </c>
      <c r="D9" s="181">
        <v>33</v>
      </c>
      <c r="E9" s="181">
        <v>33</v>
      </c>
      <c r="F9" s="181">
        <v>33</v>
      </c>
      <c r="G9" s="181">
        <v>34</v>
      </c>
      <c r="H9" s="181">
        <v>34</v>
      </c>
      <c r="I9" s="181">
        <v>34</v>
      </c>
      <c r="J9" s="181">
        <v>34</v>
      </c>
      <c r="K9" s="181">
        <v>34</v>
      </c>
      <c r="L9" s="181">
        <v>34</v>
      </c>
      <c r="M9" s="181">
        <v>34</v>
      </c>
      <c r="N9" s="181">
        <v>35</v>
      </c>
      <c r="O9" s="181">
        <v>35</v>
      </c>
      <c r="P9" s="181">
        <v>35</v>
      </c>
      <c r="Q9" s="302">
        <v>36</v>
      </c>
      <c r="R9" s="302">
        <v>36</v>
      </c>
      <c r="S9" s="302">
        <v>36</v>
      </c>
      <c r="T9" s="446">
        <v>36</v>
      </c>
      <c r="U9" s="446">
        <v>36</v>
      </c>
      <c r="V9" s="446">
        <v>37</v>
      </c>
      <c r="W9" s="454">
        <v>37</v>
      </c>
      <c r="X9" s="446">
        <v>38</v>
      </c>
      <c r="Y9" s="800">
        <v>38</v>
      </c>
    </row>
    <row r="10" spans="1:25" ht="18" customHeight="1">
      <c r="A10" s="179" t="s">
        <v>129</v>
      </c>
      <c r="B10" s="181">
        <v>43</v>
      </c>
      <c r="C10" s="181">
        <v>43</v>
      </c>
      <c r="D10" s="181">
        <v>43</v>
      </c>
      <c r="E10" s="181">
        <v>45</v>
      </c>
      <c r="F10" s="181">
        <v>46</v>
      </c>
      <c r="G10" s="181">
        <v>48</v>
      </c>
      <c r="H10" s="181">
        <v>49</v>
      </c>
      <c r="I10" s="181">
        <v>49</v>
      </c>
      <c r="J10" s="181">
        <v>49</v>
      </c>
      <c r="K10" s="181">
        <v>49</v>
      </c>
      <c r="L10" s="181">
        <v>49</v>
      </c>
      <c r="M10" s="181">
        <v>49</v>
      </c>
      <c r="N10" s="181">
        <v>52</v>
      </c>
      <c r="O10" s="181">
        <v>55</v>
      </c>
      <c r="P10" s="181">
        <v>55</v>
      </c>
      <c r="Q10" s="302">
        <v>56</v>
      </c>
      <c r="R10" s="302">
        <v>56</v>
      </c>
      <c r="S10" s="302">
        <v>56</v>
      </c>
      <c r="T10" s="446">
        <v>56</v>
      </c>
      <c r="U10" s="446">
        <v>56</v>
      </c>
      <c r="V10" s="446">
        <v>57</v>
      </c>
      <c r="W10" s="454">
        <v>57</v>
      </c>
      <c r="X10" s="446">
        <v>57</v>
      </c>
      <c r="Y10" s="800">
        <v>57</v>
      </c>
    </row>
    <row r="11" spans="1:25" ht="18" customHeight="1">
      <c r="A11" s="174" t="s">
        <v>130</v>
      </c>
      <c r="B11" s="181">
        <v>14</v>
      </c>
      <c r="C11" s="181">
        <v>14</v>
      </c>
      <c r="D11" s="181">
        <v>14</v>
      </c>
      <c r="E11" s="181">
        <v>17</v>
      </c>
      <c r="F11" s="181">
        <v>17</v>
      </c>
      <c r="G11" s="181">
        <v>29</v>
      </c>
      <c r="H11" s="181">
        <v>29</v>
      </c>
      <c r="I11" s="181">
        <v>30</v>
      </c>
      <c r="J11" s="181">
        <v>30</v>
      </c>
      <c r="K11" s="181">
        <v>33</v>
      </c>
      <c r="L11" s="181">
        <v>33</v>
      </c>
      <c r="M11" s="181">
        <v>33</v>
      </c>
      <c r="N11" s="181">
        <v>34</v>
      </c>
      <c r="O11" s="181">
        <v>33</v>
      </c>
      <c r="P11" s="181">
        <v>35</v>
      </c>
      <c r="Q11" s="302">
        <v>37</v>
      </c>
      <c r="R11" s="302">
        <v>38</v>
      </c>
      <c r="S11" s="302">
        <v>41</v>
      </c>
      <c r="T11" s="446">
        <v>42</v>
      </c>
      <c r="U11" s="446">
        <v>42</v>
      </c>
      <c r="V11" s="446">
        <v>42</v>
      </c>
      <c r="W11" s="454">
        <v>42</v>
      </c>
      <c r="X11" s="446">
        <v>42</v>
      </c>
      <c r="Y11" s="800">
        <v>42</v>
      </c>
    </row>
    <row r="12" spans="1:25" ht="18" customHeight="1">
      <c r="A12" s="179" t="s">
        <v>131</v>
      </c>
      <c r="B12" s="181">
        <v>126</v>
      </c>
      <c r="C12" s="181">
        <v>126</v>
      </c>
      <c r="D12" s="181">
        <v>126</v>
      </c>
      <c r="E12" s="181">
        <v>132</v>
      </c>
      <c r="F12" s="181">
        <v>133</v>
      </c>
      <c r="G12" s="181">
        <v>154</v>
      </c>
      <c r="H12" s="181">
        <v>154</v>
      </c>
      <c r="I12" s="181">
        <v>162</v>
      </c>
      <c r="J12" s="181">
        <v>167</v>
      </c>
      <c r="K12" s="181">
        <v>172</v>
      </c>
      <c r="L12" s="181">
        <v>189</v>
      </c>
      <c r="M12" s="181">
        <v>193</v>
      </c>
      <c r="N12" s="181">
        <v>195</v>
      </c>
      <c r="O12" s="181">
        <v>200</v>
      </c>
      <c r="P12" s="181">
        <v>209</v>
      </c>
      <c r="Q12" s="302">
        <v>228</v>
      </c>
      <c r="R12" s="302">
        <v>234</v>
      </c>
      <c r="S12" s="302">
        <v>245</v>
      </c>
      <c r="T12" s="446">
        <v>258</v>
      </c>
      <c r="U12" s="446">
        <v>262</v>
      </c>
      <c r="V12" s="446">
        <v>266</v>
      </c>
      <c r="W12" s="454">
        <v>268</v>
      </c>
      <c r="X12" s="446">
        <v>268</v>
      </c>
      <c r="Y12" s="800">
        <v>268</v>
      </c>
    </row>
    <row r="13" spans="1:25" ht="18" customHeight="1">
      <c r="A13" s="173" t="s">
        <v>73</v>
      </c>
      <c r="B13" s="173"/>
      <c r="C13" s="173"/>
      <c r="D13" s="173"/>
      <c r="E13" s="173"/>
      <c r="F13" s="173"/>
      <c r="G13" s="173"/>
      <c r="H13" s="173"/>
      <c r="I13" s="173"/>
      <c r="J13" s="173"/>
      <c r="K13" s="173"/>
      <c r="L13" s="173"/>
      <c r="M13" s="173"/>
      <c r="N13" s="173"/>
      <c r="O13" s="173"/>
      <c r="P13" s="173"/>
      <c r="Q13" s="301"/>
      <c r="R13" s="301"/>
      <c r="S13" s="301"/>
      <c r="T13" s="301"/>
      <c r="U13" s="301"/>
      <c r="V13" s="301"/>
      <c r="W13" s="808"/>
      <c r="X13" s="301"/>
      <c r="Y13" s="799"/>
    </row>
    <row r="14" spans="1:25" ht="18" customHeight="1">
      <c r="A14" s="174" t="s">
        <v>132</v>
      </c>
      <c r="B14" s="181">
        <v>71</v>
      </c>
      <c r="C14" s="181">
        <v>71</v>
      </c>
      <c r="D14" s="181">
        <v>71</v>
      </c>
      <c r="E14" s="181">
        <v>73</v>
      </c>
      <c r="F14" s="181">
        <v>78</v>
      </c>
      <c r="G14" s="181">
        <v>80</v>
      </c>
      <c r="H14" s="181">
        <v>81</v>
      </c>
      <c r="I14" s="181">
        <v>85</v>
      </c>
      <c r="J14" s="181">
        <v>87</v>
      </c>
      <c r="K14" s="181">
        <v>88</v>
      </c>
      <c r="L14" s="181">
        <v>89</v>
      </c>
      <c r="M14" s="181">
        <v>95</v>
      </c>
      <c r="N14" s="181">
        <v>100</v>
      </c>
      <c r="O14" s="170">
        <v>107</v>
      </c>
      <c r="P14" s="170">
        <v>112</v>
      </c>
      <c r="Q14" s="302">
        <v>116</v>
      </c>
      <c r="R14" s="302">
        <v>118</v>
      </c>
      <c r="S14" s="302">
        <v>121</v>
      </c>
      <c r="T14" s="446">
        <v>124</v>
      </c>
      <c r="U14" s="446">
        <v>128</v>
      </c>
      <c r="V14" s="446">
        <v>130</v>
      </c>
      <c r="W14" s="454">
        <v>132</v>
      </c>
      <c r="X14" s="446">
        <v>133</v>
      </c>
      <c r="Y14" s="800">
        <v>133</v>
      </c>
    </row>
    <row r="15" spans="1:25" ht="18" customHeight="1">
      <c r="A15" s="188" t="s">
        <v>133</v>
      </c>
      <c r="B15" s="181">
        <f aca="true" t="shared" si="0" ref="B15:R15">B16+B17</f>
        <v>133</v>
      </c>
      <c r="C15" s="181">
        <f t="shared" si="0"/>
        <v>133</v>
      </c>
      <c r="D15" s="181">
        <f t="shared" si="0"/>
        <v>133</v>
      </c>
      <c r="E15" s="181">
        <f t="shared" si="0"/>
        <v>137</v>
      </c>
      <c r="F15" s="181">
        <f t="shared" si="0"/>
        <v>138</v>
      </c>
      <c r="G15" s="181">
        <f t="shared" si="0"/>
        <v>144</v>
      </c>
      <c r="H15" s="181">
        <f t="shared" si="0"/>
        <v>146</v>
      </c>
      <c r="I15" s="181">
        <f t="shared" si="0"/>
        <v>150</v>
      </c>
      <c r="J15" s="181">
        <f t="shared" si="0"/>
        <v>153</v>
      </c>
      <c r="K15" s="181">
        <f t="shared" si="0"/>
        <v>153</v>
      </c>
      <c r="L15" s="181">
        <f t="shared" si="0"/>
        <v>158</v>
      </c>
      <c r="M15" s="181">
        <f t="shared" si="0"/>
        <v>165</v>
      </c>
      <c r="N15" s="181">
        <f t="shared" si="0"/>
        <v>170</v>
      </c>
      <c r="O15" s="181">
        <f t="shared" si="0"/>
        <v>193</v>
      </c>
      <c r="P15" s="181">
        <f t="shared" si="0"/>
        <v>200</v>
      </c>
      <c r="Q15" s="181">
        <f t="shared" si="0"/>
        <v>204</v>
      </c>
      <c r="R15" s="181">
        <f t="shared" si="0"/>
        <v>206</v>
      </c>
      <c r="S15" s="170">
        <f aca="true" t="shared" si="1" ref="S15:Y15">S16+S17</f>
        <v>210</v>
      </c>
      <c r="T15" s="170">
        <f t="shared" si="1"/>
        <v>226</v>
      </c>
      <c r="U15" s="181">
        <f>U16+U17</f>
        <v>233</v>
      </c>
      <c r="V15" s="181">
        <f>V16+V17</f>
        <v>236</v>
      </c>
      <c r="W15" s="383">
        <f>W16+W17</f>
        <v>238</v>
      </c>
      <c r="X15" s="181">
        <f>X16+X17</f>
        <v>241</v>
      </c>
      <c r="Y15" s="465">
        <f t="shared" si="1"/>
        <v>241</v>
      </c>
    </row>
    <row r="16" spans="1:25" ht="18" customHeight="1">
      <c r="A16" s="189" t="s">
        <v>134</v>
      </c>
      <c r="B16" s="181">
        <v>114</v>
      </c>
      <c r="C16" s="181">
        <v>114</v>
      </c>
      <c r="D16" s="181">
        <v>114</v>
      </c>
      <c r="E16" s="181">
        <v>117</v>
      </c>
      <c r="F16" s="181">
        <v>117</v>
      </c>
      <c r="G16" s="181">
        <v>118</v>
      </c>
      <c r="H16" s="181">
        <v>119</v>
      </c>
      <c r="I16" s="181">
        <v>122</v>
      </c>
      <c r="J16" s="181">
        <v>124</v>
      </c>
      <c r="K16" s="181">
        <v>124</v>
      </c>
      <c r="L16" s="181">
        <v>127</v>
      </c>
      <c r="M16" s="181">
        <v>134</v>
      </c>
      <c r="N16" s="181">
        <v>139</v>
      </c>
      <c r="O16" s="130">
        <v>147</v>
      </c>
      <c r="P16" s="130">
        <v>152</v>
      </c>
      <c r="Q16" s="303">
        <v>156</v>
      </c>
      <c r="R16" s="303">
        <v>158</v>
      </c>
      <c r="S16" s="303">
        <v>161</v>
      </c>
      <c r="T16" s="447">
        <v>176</v>
      </c>
      <c r="U16" s="447">
        <v>183</v>
      </c>
      <c r="V16" s="447">
        <v>186</v>
      </c>
      <c r="W16" s="809">
        <v>188</v>
      </c>
      <c r="X16" s="447">
        <v>191</v>
      </c>
      <c r="Y16" s="801">
        <v>191</v>
      </c>
    </row>
    <row r="17" spans="1:25" ht="18" customHeight="1">
      <c r="A17" s="189" t="s">
        <v>88</v>
      </c>
      <c r="B17" s="181">
        <v>19</v>
      </c>
      <c r="C17" s="181">
        <v>19</v>
      </c>
      <c r="D17" s="181">
        <v>19</v>
      </c>
      <c r="E17" s="181">
        <v>20</v>
      </c>
      <c r="F17" s="181">
        <v>21</v>
      </c>
      <c r="G17" s="181">
        <v>26</v>
      </c>
      <c r="H17" s="181">
        <v>27</v>
      </c>
      <c r="I17" s="181">
        <v>28</v>
      </c>
      <c r="J17" s="181">
        <v>29</v>
      </c>
      <c r="K17" s="181">
        <v>29</v>
      </c>
      <c r="L17" s="181">
        <v>31</v>
      </c>
      <c r="M17" s="181">
        <v>31</v>
      </c>
      <c r="N17" s="181">
        <v>31</v>
      </c>
      <c r="O17" s="130">
        <v>46</v>
      </c>
      <c r="P17" s="130">
        <v>48</v>
      </c>
      <c r="Q17" s="303">
        <v>48</v>
      </c>
      <c r="R17" s="303">
        <v>48</v>
      </c>
      <c r="S17" s="303">
        <v>49</v>
      </c>
      <c r="T17" s="447">
        <v>50</v>
      </c>
      <c r="U17" s="447">
        <v>50</v>
      </c>
      <c r="V17" s="447">
        <v>50</v>
      </c>
      <c r="W17" s="809">
        <v>50</v>
      </c>
      <c r="X17" s="447">
        <v>50</v>
      </c>
      <c r="Y17" s="801">
        <v>50</v>
      </c>
    </row>
    <row r="18" spans="1:25" ht="12.75">
      <c r="A18" s="5"/>
      <c r="B18" s="5"/>
      <c r="C18" s="5"/>
      <c r="D18" s="5"/>
      <c r="E18" s="5"/>
      <c r="F18" s="5"/>
      <c r="G18" s="5"/>
      <c r="H18" s="5"/>
      <c r="I18" s="5"/>
      <c r="J18" s="5"/>
      <c r="K18" s="5"/>
      <c r="L18" s="5"/>
      <c r="M18" s="5"/>
      <c r="N18" s="5"/>
      <c r="O18" s="5"/>
      <c r="P18" s="5"/>
      <c r="Q18" s="17"/>
      <c r="R18" s="17"/>
      <c r="S18" s="17"/>
      <c r="T18" s="5"/>
      <c r="U18" s="5"/>
      <c r="V18" s="5"/>
      <c r="W18" s="391"/>
      <c r="X18" s="5"/>
      <c r="Y18" s="473"/>
    </row>
    <row r="19" spans="1:25" ht="12.75">
      <c r="A19" s="6" t="s">
        <v>135</v>
      </c>
      <c r="B19" s="5"/>
      <c r="C19" s="5"/>
      <c r="D19" s="5"/>
      <c r="E19" s="5"/>
      <c r="F19" s="5"/>
      <c r="G19" s="5"/>
      <c r="H19" s="5"/>
      <c r="I19" s="5"/>
      <c r="J19" s="5"/>
      <c r="K19" s="5"/>
      <c r="L19" s="5"/>
      <c r="M19" s="5"/>
      <c r="N19" s="5"/>
      <c r="O19" s="5"/>
      <c r="P19" s="5"/>
      <c r="Q19" s="17"/>
      <c r="R19" s="17"/>
      <c r="S19" s="17"/>
      <c r="T19" s="5"/>
      <c r="U19" s="5"/>
      <c r="V19" s="5"/>
      <c r="W19" s="391"/>
      <c r="X19" s="5"/>
      <c r="Y19" s="473"/>
    </row>
    <row r="20" spans="1:25" ht="12.75">
      <c r="A20" s="13"/>
      <c r="B20" s="5"/>
      <c r="C20" s="5"/>
      <c r="D20" s="5"/>
      <c r="E20" s="5"/>
      <c r="F20" s="5"/>
      <c r="G20" s="5"/>
      <c r="H20" s="5"/>
      <c r="I20" s="5"/>
      <c r="J20" s="5"/>
      <c r="K20" s="5"/>
      <c r="L20" s="5"/>
      <c r="M20" s="5"/>
      <c r="N20" s="5"/>
      <c r="O20" s="5"/>
      <c r="P20" s="5"/>
      <c r="Q20" s="17"/>
      <c r="R20" s="17"/>
      <c r="S20" s="17"/>
      <c r="T20" s="5"/>
      <c r="U20" s="5"/>
      <c r="V20" s="5"/>
      <c r="W20" s="391"/>
      <c r="X20" s="5"/>
      <c r="Y20" s="473"/>
    </row>
    <row r="21" spans="1:25" ht="12.75">
      <c r="A21" s="13" t="s">
        <v>653</v>
      </c>
      <c r="B21" s="5"/>
      <c r="C21" s="5"/>
      <c r="D21" s="5"/>
      <c r="E21" s="5"/>
      <c r="F21" s="5"/>
      <c r="G21" s="5"/>
      <c r="H21" s="5"/>
      <c r="I21" s="5"/>
      <c r="J21" s="5"/>
      <c r="K21" s="5"/>
      <c r="L21" s="5"/>
      <c r="M21" s="5"/>
      <c r="N21" s="5"/>
      <c r="O21" s="5"/>
      <c r="P21" s="5"/>
      <c r="Q21" s="17"/>
      <c r="R21" s="17"/>
      <c r="S21" s="17"/>
      <c r="T21" s="5"/>
      <c r="U21" s="5"/>
      <c r="V21" s="5"/>
      <c r="W21" s="391"/>
      <c r="X21" s="5"/>
      <c r="Y21" s="473"/>
    </row>
    <row r="22" spans="1:25" ht="12.75">
      <c r="A22" s="1106" t="s">
        <v>776</v>
      </c>
      <c r="B22" s="1106"/>
      <c r="C22" s="1106"/>
      <c r="D22" s="1106"/>
      <c r="E22" s="1106"/>
      <c r="F22" s="1106"/>
      <c r="G22" s="1106"/>
      <c r="H22" s="1106"/>
      <c r="I22" s="1106"/>
      <c r="J22" s="1106"/>
      <c r="K22" s="1106"/>
      <c r="L22" s="1106"/>
      <c r="M22" s="1106"/>
      <c r="N22" s="1106"/>
      <c r="O22" s="1106"/>
      <c r="P22" s="1106"/>
      <c r="Q22" s="1106"/>
      <c r="R22" s="1106"/>
      <c r="S22" s="1106"/>
      <c r="T22" s="1106"/>
      <c r="U22" s="1106"/>
      <c r="V22" s="1106"/>
      <c r="W22" s="1106"/>
      <c r="X22" s="1106"/>
      <c r="Y22" s="1106"/>
    </row>
    <row r="23" spans="1:25" ht="12.75">
      <c r="A23" s="1106" t="s">
        <v>777</v>
      </c>
      <c r="B23" s="1106"/>
      <c r="C23" s="1106"/>
      <c r="D23" s="1106"/>
      <c r="E23" s="1106"/>
      <c r="F23" s="1106"/>
      <c r="G23" s="1106"/>
      <c r="H23" s="1106"/>
      <c r="I23" s="1106"/>
      <c r="J23" s="1106"/>
      <c r="K23" s="1106"/>
      <c r="L23" s="1106"/>
      <c r="M23" s="1106"/>
      <c r="N23" s="1106"/>
      <c r="O23" s="1106"/>
      <c r="P23" s="1106"/>
      <c r="Q23" s="1106"/>
      <c r="R23" s="1106"/>
      <c r="S23" s="1106"/>
      <c r="T23" s="1106"/>
      <c r="U23" s="1106"/>
      <c r="V23" s="1106"/>
      <c r="W23" s="1106"/>
      <c r="X23" s="1106"/>
      <c r="Y23" s="1106"/>
    </row>
  </sheetData>
  <sheetProtection/>
  <mergeCells count="5">
    <mergeCell ref="A1:Y1"/>
    <mergeCell ref="A3:Y3"/>
    <mergeCell ref="A4:Y4"/>
    <mergeCell ref="A22:Y22"/>
    <mergeCell ref="A23:Y23"/>
  </mergeCells>
  <printOptions horizontalCentered="1"/>
  <pageMargins left="0.7874015748031497" right="0.7874015748031497" top="0.984251968503937" bottom="0.984251968503937" header="0" footer="0"/>
  <pageSetup fitToHeight="1" fitToWidth="1" horizontalDpi="600" verticalDpi="600" orientation="landscape" scale="43"/>
</worksheet>
</file>

<file path=xl/worksheets/sheet12.xml><?xml version="1.0" encoding="utf-8"?>
<worksheet xmlns="http://schemas.openxmlformats.org/spreadsheetml/2006/main" xmlns:r="http://schemas.openxmlformats.org/officeDocument/2006/relationships">
  <sheetPr>
    <tabColor rgb="FF660066"/>
    <pageSetUpPr fitToPage="1"/>
  </sheetPr>
  <dimension ref="B1:O35"/>
  <sheetViews>
    <sheetView zoomScalePageLayoutView="0" workbookViewId="0" topLeftCell="A1">
      <selection activeCell="B3" sqref="B3:O3"/>
    </sheetView>
  </sheetViews>
  <sheetFormatPr defaultColWidth="11.421875" defaultRowHeight="12.75"/>
  <cols>
    <col min="1" max="1" width="5.7109375" style="896" customWidth="1"/>
    <col min="2" max="2" width="41.8515625" style="897" customWidth="1"/>
    <col min="3" max="15" width="13.8515625" style="896" customWidth="1"/>
    <col min="16" max="16384" width="11.421875" style="896" customWidth="1"/>
  </cols>
  <sheetData>
    <row r="1" spans="2:15" ht="12.75">
      <c r="B1" s="1115" t="s">
        <v>136</v>
      </c>
      <c r="C1" s="1115"/>
      <c r="D1" s="1115"/>
      <c r="E1" s="1115"/>
      <c r="F1" s="1115"/>
      <c r="G1" s="1115"/>
      <c r="H1" s="1115"/>
      <c r="I1" s="1115"/>
      <c r="J1" s="1115"/>
      <c r="K1" s="1115"/>
      <c r="L1" s="1115"/>
      <c r="M1" s="1115"/>
      <c r="N1" s="1115"/>
      <c r="O1" s="1115"/>
    </row>
    <row r="3" spans="2:15" ht="18" customHeight="1">
      <c r="B3" s="1116" t="s">
        <v>770</v>
      </c>
      <c r="C3" s="1116"/>
      <c r="D3" s="1116"/>
      <c r="E3" s="1116"/>
      <c r="F3" s="1116"/>
      <c r="G3" s="1116"/>
      <c r="H3" s="1116"/>
      <c r="I3" s="1116"/>
      <c r="J3" s="1116"/>
      <c r="K3" s="1116"/>
      <c r="L3" s="1116"/>
      <c r="M3" s="1116"/>
      <c r="N3" s="1116"/>
      <c r="O3" s="1116"/>
    </row>
    <row r="4" spans="2:15" ht="18" customHeight="1">
      <c r="B4" s="1117">
        <v>2022</v>
      </c>
      <c r="C4" s="1117"/>
      <c r="D4" s="1117"/>
      <c r="E4" s="1117"/>
      <c r="F4" s="1117"/>
      <c r="G4" s="1117"/>
      <c r="H4" s="1117"/>
      <c r="I4" s="1117"/>
      <c r="J4" s="1117"/>
      <c r="K4" s="1117"/>
      <c r="L4" s="1117"/>
      <c r="M4" s="1117"/>
      <c r="N4" s="1117"/>
      <c r="O4" s="1117"/>
    </row>
    <row r="5" spans="2:15" ht="18" customHeight="1">
      <c r="B5" s="769"/>
      <c r="C5" s="65"/>
      <c r="D5" s="65"/>
      <c r="E5" s="65"/>
      <c r="F5" s="65"/>
      <c r="G5" s="65"/>
      <c r="H5" s="65"/>
      <c r="I5" s="65"/>
      <c r="J5" s="65"/>
      <c r="K5" s="65"/>
      <c r="L5" s="65"/>
      <c r="M5" s="65"/>
      <c r="N5" s="65"/>
      <c r="O5" s="65"/>
    </row>
    <row r="6" spans="2:15" ht="18" customHeight="1">
      <c r="B6" s="769"/>
      <c r="C6" s="1147" t="s">
        <v>137</v>
      </c>
      <c r="D6" s="1148"/>
      <c r="E6" s="1148"/>
      <c r="F6" s="1148"/>
      <c r="G6" s="1149"/>
      <c r="H6" s="1150" t="s">
        <v>138</v>
      </c>
      <c r="I6" s="1151"/>
      <c r="J6" s="1151"/>
      <c r="K6" s="1151"/>
      <c r="L6" s="1151"/>
      <c r="M6" s="1151"/>
      <c r="N6" s="1152"/>
      <c r="O6" s="1153"/>
    </row>
    <row r="7" spans="2:15" s="924" customFormat="1" ht="18" customHeight="1">
      <c r="B7" s="769"/>
      <c r="C7" s="1162" t="s">
        <v>139</v>
      </c>
      <c r="D7" s="1165" t="s">
        <v>140</v>
      </c>
      <c r="E7" s="1166"/>
      <c r="F7" s="1165" t="s">
        <v>522</v>
      </c>
      <c r="G7" s="1167"/>
      <c r="H7" s="1145" t="s">
        <v>539</v>
      </c>
      <c r="I7" s="1146"/>
      <c r="J7" s="1146"/>
      <c r="K7" s="1146"/>
      <c r="L7" s="1146"/>
      <c r="M7" s="1146"/>
      <c r="N7" s="1165"/>
      <c r="O7" s="1168"/>
    </row>
    <row r="8" spans="2:15" ht="31.5" customHeight="1">
      <c r="B8" s="1169" t="s">
        <v>141</v>
      </c>
      <c r="C8" s="1163"/>
      <c r="D8" s="1141" t="s">
        <v>142</v>
      </c>
      <c r="E8" s="1141" t="s">
        <v>143</v>
      </c>
      <c r="F8" s="1141" t="s">
        <v>142</v>
      </c>
      <c r="G8" s="1143" t="s">
        <v>143</v>
      </c>
      <c r="H8" s="1145" t="s">
        <v>144</v>
      </c>
      <c r="I8" s="1146"/>
      <c r="J8" s="1146" t="s">
        <v>145</v>
      </c>
      <c r="K8" s="1146"/>
      <c r="L8" s="1165" t="s">
        <v>731</v>
      </c>
      <c r="M8" s="1167"/>
      <c r="N8" s="1165" t="s">
        <v>147</v>
      </c>
      <c r="O8" s="1167"/>
    </row>
    <row r="9" spans="2:15" ht="18" customHeight="1">
      <c r="B9" s="1170"/>
      <c r="C9" s="1164"/>
      <c r="D9" s="1142"/>
      <c r="E9" s="1142"/>
      <c r="F9" s="1142"/>
      <c r="G9" s="1144"/>
      <c r="H9" s="923" t="s">
        <v>148</v>
      </c>
      <c r="I9" s="922" t="s">
        <v>149</v>
      </c>
      <c r="J9" s="922" t="s">
        <v>148</v>
      </c>
      <c r="K9" s="922" t="s">
        <v>149</v>
      </c>
      <c r="L9" s="922" t="s">
        <v>148</v>
      </c>
      <c r="M9" s="922" t="s">
        <v>149</v>
      </c>
      <c r="N9" s="922" t="s">
        <v>148</v>
      </c>
      <c r="O9" s="905" t="s">
        <v>149</v>
      </c>
    </row>
    <row r="10" spans="2:15" ht="18" customHeight="1">
      <c r="B10" s="904" t="s">
        <v>150</v>
      </c>
      <c r="C10" s="903">
        <v>7</v>
      </c>
      <c r="D10" s="712">
        <v>8</v>
      </c>
      <c r="E10" s="712">
        <v>7</v>
      </c>
      <c r="F10" s="712">
        <v>8</v>
      </c>
      <c r="G10" s="902">
        <v>7</v>
      </c>
      <c r="H10" s="903">
        <v>9</v>
      </c>
      <c r="I10" s="712">
        <v>5</v>
      </c>
      <c r="J10" s="712">
        <v>5</v>
      </c>
      <c r="K10" s="712">
        <v>7</v>
      </c>
      <c r="L10" s="712">
        <v>0</v>
      </c>
      <c r="M10" s="712">
        <v>1</v>
      </c>
      <c r="N10" s="712">
        <v>0</v>
      </c>
      <c r="O10" s="902">
        <v>0</v>
      </c>
    </row>
    <row r="11" spans="2:15" ht="18" customHeight="1">
      <c r="B11" s="904" t="s">
        <v>91</v>
      </c>
      <c r="C11" s="903">
        <v>11</v>
      </c>
      <c r="D11" s="712">
        <v>11</v>
      </c>
      <c r="E11" s="712">
        <v>9</v>
      </c>
      <c r="F11" s="712">
        <v>11</v>
      </c>
      <c r="G11" s="902">
        <v>10</v>
      </c>
      <c r="H11" s="903">
        <v>6</v>
      </c>
      <c r="I11" s="712">
        <v>8</v>
      </c>
      <c r="J11" s="712">
        <v>4</v>
      </c>
      <c r="K11" s="712">
        <v>0</v>
      </c>
      <c r="L11" s="712">
        <v>2</v>
      </c>
      <c r="M11" s="712">
        <v>3</v>
      </c>
      <c r="N11" s="712">
        <v>0</v>
      </c>
      <c r="O11" s="902">
        <v>0</v>
      </c>
    </row>
    <row r="12" spans="2:15" ht="18" customHeight="1">
      <c r="B12" s="904" t="s">
        <v>92</v>
      </c>
      <c r="C12" s="903">
        <v>8</v>
      </c>
      <c r="D12" s="712">
        <v>18</v>
      </c>
      <c r="E12" s="712">
        <v>7</v>
      </c>
      <c r="F12" s="712">
        <v>13</v>
      </c>
      <c r="G12" s="902">
        <v>7</v>
      </c>
      <c r="H12" s="903">
        <v>2</v>
      </c>
      <c r="I12" s="712">
        <v>2</v>
      </c>
      <c r="J12" s="712">
        <v>9</v>
      </c>
      <c r="K12" s="712">
        <v>5</v>
      </c>
      <c r="L12" s="712">
        <v>2</v>
      </c>
      <c r="M12" s="712">
        <v>0</v>
      </c>
      <c r="N12" s="712">
        <v>0</v>
      </c>
      <c r="O12" s="902">
        <v>0</v>
      </c>
    </row>
    <row r="13" spans="2:15" ht="18" customHeight="1">
      <c r="B13" s="904" t="s">
        <v>93</v>
      </c>
      <c r="C13" s="903">
        <v>16</v>
      </c>
      <c r="D13" s="712">
        <v>20</v>
      </c>
      <c r="E13" s="712">
        <v>14</v>
      </c>
      <c r="F13" s="712">
        <v>13</v>
      </c>
      <c r="G13" s="902">
        <v>12</v>
      </c>
      <c r="H13" s="903">
        <v>1</v>
      </c>
      <c r="I13" s="712">
        <v>3</v>
      </c>
      <c r="J13" s="712">
        <v>8</v>
      </c>
      <c r="K13" s="712">
        <v>8</v>
      </c>
      <c r="L13" s="712">
        <v>6</v>
      </c>
      <c r="M13" s="712">
        <v>1</v>
      </c>
      <c r="N13" s="712">
        <v>0</v>
      </c>
      <c r="O13" s="902">
        <v>0</v>
      </c>
    </row>
    <row r="14" spans="2:15" ht="18" customHeight="1">
      <c r="B14" s="1154" t="s">
        <v>61</v>
      </c>
      <c r="C14" s="1156">
        <f aca="true" t="shared" si="0" ref="C14:O14">SUM(C10:C13)</f>
        <v>42</v>
      </c>
      <c r="D14" s="509">
        <f t="shared" si="0"/>
        <v>57</v>
      </c>
      <c r="E14" s="509">
        <f t="shared" si="0"/>
        <v>37</v>
      </c>
      <c r="F14" s="921">
        <f t="shared" si="0"/>
        <v>45</v>
      </c>
      <c r="G14" s="920">
        <f t="shared" si="0"/>
        <v>36</v>
      </c>
      <c r="H14" s="919">
        <f t="shared" si="0"/>
        <v>18</v>
      </c>
      <c r="I14" s="918">
        <f t="shared" si="0"/>
        <v>18</v>
      </c>
      <c r="J14" s="918">
        <f t="shared" si="0"/>
        <v>26</v>
      </c>
      <c r="K14" s="918">
        <f t="shared" si="0"/>
        <v>20</v>
      </c>
      <c r="L14" s="918">
        <f t="shared" si="0"/>
        <v>10</v>
      </c>
      <c r="M14" s="918">
        <f t="shared" si="0"/>
        <v>5</v>
      </c>
      <c r="N14" s="917">
        <f t="shared" si="0"/>
        <v>0</v>
      </c>
      <c r="O14" s="916">
        <f t="shared" si="0"/>
        <v>0</v>
      </c>
    </row>
    <row r="15" spans="2:15" ht="18" customHeight="1">
      <c r="B15" s="1155"/>
      <c r="C15" s="1157"/>
      <c r="D15" s="1158">
        <f>D14+E14</f>
        <v>94</v>
      </c>
      <c r="E15" s="1159"/>
      <c r="F15" s="1160" t="s">
        <v>732</v>
      </c>
      <c r="G15" s="1135"/>
      <c r="H15" s="1161">
        <f>H14+I14</f>
        <v>36</v>
      </c>
      <c r="I15" s="1139"/>
      <c r="J15" s="1139">
        <f>J14+K14</f>
        <v>46</v>
      </c>
      <c r="K15" s="1139"/>
      <c r="L15" s="1139">
        <f>L14+M14</f>
        <v>15</v>
      </c>
      <c r="M15" s="1139"/>
      <c r="N15" s="1139">
        <f>N14+O14</f>
        <v>0</v>
      </c>
      <c r="O15" s="1140"/>
    </row>
    <row r="16" spans="2:15" ht="18" customHeight="1">
      <c r="B16" s="915"/>
      <c r="C16" s="394"/>
      <c r="D16" s="394"/>
      <c r="E16" s="394"/>
      <c r="F16" s="914"/>
      <c r="G16" s="914"/>
      <c r="H16" s="1133">
        <f>H15+J15+L15+N15</f>
        <v>97</v>
      </c>
      <c r="I16" s="1134"/>
      <c r="J16" s="1134"/>
      <c r="K16" s="1134"/>
      <c r="L16" s="1134"/>
      <c r="M16" s="1134"/>
      <c r="N16" s="1134"/>
      <c r="O16" s="1135"/>
    </row>
    <row r="17" spans="2:15" ht="12.75">
      <c r="B17" s="769"/>
      <c r="C17" s="65"/>
      <c r="D17" s="65"/>
      <c r="E17" s="65"/>
      <c r="F17" s="65"/>
      <c r="G17" s="65"/>
      <c r="H17" s="65"/>
      <c r="I17" s="65"/>
      <c r="J17" s="65"/>
      <c r="K17" s="65"/>
      <c r="L17" s="65"/>
      <c r="M17" s="65"/>
      <c r="N17" s="65"/>
      <c r="O17" s="65"/>
    </row>
    <row r="18" spans="2:15" s="686" customFormat="1" ht="27.75" customHeight="1">
      <c r="B18" s="1136" t="s">
        <v>771</v>
      </c>
      <c r="C18" s="1136"/>
      <c r="D18" s="1136"/>
      <c r="E18" s="1136"/>
      <c r="F18" s="1136"/>
      <c r="G18" s="1136"/>
      <c r="H18" s="1136"/>
      <c r="I18" s="1136"/>
      <c r="J18" s="1136"/>
      <c r="K18" s="1136"/>
      <c r="L18" s="1136"/>
      <c r="M18" s="1136"/>
      <c r="N18" s="1136"/>
      <c r="O18" s="1136"/>
    </row>
    <row r="19" spans="2:15" ht="37.5" customHeight="1">
      <c r="B19" s="1137" t="s">
        <v>772</v>
      </c>
      <c r="C19" s="1137"/>
      <c r="D19" s="1137"/>
      <c r="E19" s="1137"/>
      <c r="F19" s="1137"/>
      <c r="G19" s="1137"/>
      <c r="H19" s="1137"/>
      <c r="I19" s="1137"/>
      <c r="J19" s="1137"/>
      <c r="K19" s="1137"/>
      <c r="L19" s="1137"/>
      <c r="M19" s="1137"/>
      <c r="N19" s="1137"/>
      <c r="O19" s="1137"/>
    </row>
    <row r="20" spans="2:15" ht="12.75">
      <c r="B20" s="913"/>
      <c r="C20" s="913"/>
      <c r="D20" s="913"/>
      <c r="E20" s="913"/>
      <c r="F20" s="913"/>
      <c r="G20" s="913"/>
      <c r="H20" s="913"/>
      <c r="I20" s="913"/>
      <c r="J20" s="913"/>
      <c r="K20" s="913"/>
      <c r="L20" s="913"/>
      <c r="M20" s="913"/>
      <c r="N20" s="913"/>
      <c r="O20" s="913"/>
    </row>
    <row r="21" spans="2:15" ht="18" customHeight="1">
      <c r="B21" s="1138" t="s">
        <v>773</v>
      </c>
      <c r="C21" s="1138"/>
      <c r="D21" s="1138"/>
      <c r="E21" s="1138"/>
      <c r="F21" s="1138"/>
      <c r="G21" s="392"/>
      <c r="H21" s="392"/>
      <c r="I21" s="392"/>
      <c r="J21" s="392"/>
      <c r="K21" s="392"/>
      <c r="L21" s="392"/>
      <c r="M21" s="392"/>
      <c r="N21" s="392"/>
      <c r="O21" s="392"/>
    </row>
    <row r="22" spans="2:15" ht="18" customHeight="1">
      <c r="B22" s="1117">
        <v>2022</v>
      </c>
      <c r="C22" s="1117"/>
      <c r="D22" s="1117"/>
      <c r="E22" s="1117"/>
      <c r="F22" s="1117"/>
      <c r="G22" s="392"/>
      <c r="H22" s="392"/>
      <c r="I22" s="392"/>
      <c r="J22" s="392"/>
      <c r="K22" s="392"/>
      <c r="L22" s="392"/>
      <c r="M22" s="392"/>
      <c r="N22" s="392"/>
      <c r="O22" s="392"/>
    </row>
    <row r="23" spans="2:12" ht="18" customHeight="1">
      <c r="B23" s="392"/>
      <c r="C23" s="392"/>
      <c r="D23" s="392"/>
      <c r="E23" s="392"/>
      <c r="F23" s="392"/>
      <c r="G23" s="392"/>
      <c r="H23" s="392"/>
      <c r="I23" s="392"/>
      <c r="J23" s="392"/>
      <c r="K23" s="392"/>
      <c r="L23" s="392"/>
    </row>
    <row r="24" spans="2:6" ht="18" customHeight="1">
      <c r="B24" s="769"/>
      <c r="C24" s="1127" t="s">
        <v>138</v>
      </c>
      <c r="D24" s="1128"/>
      <c r="E24" s="1128"/>
      <c r="F24" s="1129"/>
    </row>
    <row r="25" spans="2:6" ht="31.5" customHeight="1">
      <c r="B25" s="912" t="s">
        <v>141</v>
      </c>
      <c r="C25" s="907" t="s">
        <v>144</v>
      </c>
      <c r="D25" s="906" t="s">
        <v>145</v>
      </c>
      <c r="E25" s="906" t="s">
        <v>146</v>
      </c>
      <c r="F25" s="905" t="s">
        <v>147</v>
      </c>
    </row>
    <row r="26" spans="2:6" ht="18" customHeight="1">
      <c r="B26" s="908" t="s">
        <v>671</v>
      </c>
      <c r="C26" s="911"/>
      <c r="D26" s="910"/>
      <c r="E26" s="910"/>
      <c r="F26" s="909"/>
    </row>
    <row r="27" spans="2:6" ht="18" customHeight="1">
      <c r="B27" s="904" t="s">
        <v>91</v>
      </c>
      <c r="C27" s="911"/>
      <c r="D27" s="910">
        <v>2</v>
      </c>
      <c r="E27" s="910">
        <v>6</v>
      </c>
      <c r="F27" s="909">
        <v>1</v>
      </c>
    </row>
    <row r="28" spans="2:6" ht="18" customHeight="1">
      <c r="B28" s="904" t="s">
        <v>150</v>
      </c>
      <c r="C28" s="911"/>
      <c r="D28" s="910"/>
      <c r="E28" s="910">
        <v>1</v>
      </c>
      <c r="F28" s="909"/>
    </row>
    <row r="29" spans="2:6" ht="12.75">
      <c r="B29" s="908" t="s">
        <v>730</v>
      </c>
      <c r="C29" s="907"/>
      <c r="D29" s="906"/>
      <c r="E29" s="906"/>
      <c r="F29" s="905"/>
    </row>
    <row r="30" spans="2:6" ht="18" customHeight="1">
      <c r="B30" s="904" t="s">
        <v>91</v>
      </c>
      <c r="C30" s="903">
        <v>5</v>
      </c>
      <c r="D30" s="712">
        <v>14</v>
      </c>
      <c r="E30" s="712">
        <v>50</v>
      </c>
      <c r="F30" s="902">
        <v>0</v>
      </c>
    </row>
    <row r="31" spans="2:7" s="900" customFormat="1" ht="18" customHeight="1">
      <c r="B31" s="901" t="s">
        <v>61</v>
      </c>
      <c r="C31" s="1130">
        <f>SUM(C26:F30)</f>
        <v>79</v>
      </c>
      <c r="D31" s="1131"/>
      <c r="E31" s="1131"/>
      <c r="F31" s="1132"/>
      <c r="G31" s="896"/>
    </row>
    <row r="33" spans="2:8" ht="12.75">
      <c r="B33" s="611" t="s">
        <v>774</v>
      </c>
      <c r="D33" s="899"/>
      <c r="E33" s="898"/>
      <c r="F33" s="898"/>
      <c r="G33" s="898"/>
      <c r="H33" s="898"/>
    </row>
    <row r="34" spans="2:15" ht="12.75">
      <c r="B34" s="1118" t="s">
        <v>729</v>
      </c>
      <c r="C34" s="1118"/>
      <c r="D34" s="1118"/>
      <c r="E34" s="1118"/>
      <c r="F34" s="1118"/>
      <c r="G34" s="1118"/>
      <c r="H34" s="1118"/>
      <c r="I34" s="1118"/>
      <c r="J34" s="1118"/>
      <c r="K34" s="1118"/>
      <c r="L34" s="1118"/>
      <c r="M34" s="1118"/>
      <c r="N34" s="1118"/>
      <c r="O34" s="1118"/>
    </row>
    <row r="35" spans="2:15" ht="12.75">
      <c r="B35" s="1118" t="s">
        <v>728</v>
      </c>
      <c r="C35" s="1118"/>
      <c r="D35" s="1118"/>
      <c r="E35" s="1118"/>
      <c r="F35" s="1118"/>
      <c r="G35" s="1118"/>
      <c r="H35" s="1118"/>
      <c r="I35" s="1118"/>
      <c r="J35" s="1118"/>
      <c r="K35" s="1118"/>
      <c r="L35" s="1118"/>
      <c r="M35" s="1118"/>
      <c r="N35" s="1118"/>
      <c r="O35" s="1118"/>
    </row>
  </sheetData>
  <sheetProtection/>
  <mergeCells count="35">
    <mergeCell ref="C7:C9"/>
    <mergeCell ref="D7:E7"/>
    <mergeCell ref="F7:G7"/>
    <mergeCell ref="H7:O7"/>
    <mergeCell ref="B8:B9"/>
    <mergeCell ref="L8:M8"/>
    <mergeCell ref="N8:O8"/>
    <mergeCell ref="B14:B15"/>
    <mergeCell ref="C14:C15"/>
    <mergeCell ref="D15:E15"/>
    <mergeCell ref="F15:G15"/>
    <mergeCell ref="H15:I15"/>
    <mergeCell ref="B1:O1"/>
    <mergeCell ref="B3:O3"/>
    <mergeCell ref="B4:O4"/>
    <mergeCell ref="C6:G6"/>
    <mergeCell ref="H6:O6"/>
    <mergeCell ref="J15:K15"/>
    <mergeCell ref="L15:M15"/>
    <mergeCell ref="N15:O15"/>
    <mergeCell ref="D8:D9"/>
    <mergeCell ref="E8:E9"/>
    <mergeCell ref="F8:F9"/>
    <mergeCell ref="G8:G9"/>
    <mergeCell ref="H8:I8"/>
    <mergeCell ref="J8:K8"/>
    <mergeCell ref="C24:F24"/>
    <mergeCell ref="C31:F31"/>
    <mergeCell ref="B34:O34"/>
    <mergeCell ref="B35:O35"/>
    <mergeCell ref="H16:O16"/>
    <mergeCell ref="B18:O18"/>
    <mergeCell ref="B19:O19"/>
    <mergeCell ref="B21:F21"/>
    <mergeCell ref="B22:F22"/>
  </mergeCells>
  <printOptions horizontalCentered="1"/>
  <pageMargins left="0.7874015748031497" right="0.7874015748031497" top="0.984251968503937" bottom="0.984251968503937" header="0" footer="0"/>
  <pageSetup fitToHeight="1" fitToWidth="1" horizontalDpi="600" verticalDpi="600" orientation="landscape" scale="50" r:id="rId1"/>
</worksheet>
</file>

<file path=xl/worksheets/sheet13.xml><?xml version="1.0" encoding="utf-8"?>
<worksheet xmlns="http://schemas.openxmlformats.org/spreadsheetml/2006/main" xmlns:r="http://schemas.openxmlformats.org/officeDocument/2006/relationships">
  <sheetPr>
    <tabColor rgb="FF660066"/>
    <pageSetUpPr fitToPage="1"/>
  </sheetPr>
  <dimension ref="A1:AA119"/>
  <sheetViews>
    <sheetView zoomScale="85" zoomScaleNormal="85" zoomScalePageLayoutView="0" workbookViewId="0" topLeftCell="A1">
      <pane xSplit="1" ySplit="7" topLeftCell="V52" activePane="bottomRight" state="frozen"/>
      <selection pane="topLeft" activeCell="A1" sqref="A1"/>
      <selection pane="topRight" activeCell="B1" sqref="B1"/>
      <selection pane="bottomLeft" activeCell="A8" sqref="A8"/>
      <selection pane="bottomRight" activeCell="Y69" sqref="Y69"/>
    </sheetView>
  </sheetViews>
  <sheetFormatPr defaultColWidth="10.8515625" defaultRowHeight="12.75"/>
  <cols>
    <col min="1" max="1" width="102.8515625" style="754" customWidth="1"/>
    <col min="2" max="9" width="10.7109375" style="65" customWidth="1"/>
    <col min="10" max="14" width="10.8515625" style="65" customWidth="1"/>
    <col min="15" max="15" width="10.140625" style="65" customWidth="1"/>
    <col min="16" max="17" width="10.8515625" style="65" customWidth="1"/>
    <col min="18" max="22" width="10.8515625" style="379" customWidth="1"/>
    <col min="23" max="23" width="10.8515625" style="65" customWidth="1"/>
    <col min="24" max="24" width="10.8515625" style="1067" customWidth="1"/>
    <col min="25" max="25" width="10.8515625" style="753" customWidth="1"/>
    <col min="26" max="26" width="5.00390625" style="371" bestFit="1" customWidth="1"/>
    <col min="27" max="16384" width="10.8515625" style="371" customWidth="1"/>
  </cols>
  <sheetData>
    <row r="1" spans="1:25" s="65" customFormat="1" ht="13.5" customHeight="1">
      <c r="A1" s="1171" t="s">
        <v>706</v>
      </c>
      <c r="B1" s="1171"/>
      <c r="C1" s="1171"/>
      <c r="D1" s="1171"/>
      <c r="E1" s="1171"/>
      <c r="F1" s="1171"/>
      <c r="G1" s="1171"/>
      <c r="H1" s="1171"/>
      <c r="I1" s="1171"/>
      <c r="J1" s="1171"/>
      <c r="K1" s="1171"/>
      <c r="L1" s="1171"/>
      <c r="M1" s="1171"/>
      <c r="N1" s="1171"/>
      <c r="O1" s="1171"/>
      <c r="P1" s="1171"/>
      <c r="Q1" s="1171"/>
      <c r="R1" s="1171"/>
      <c r="S1" s="1171"/>
      <c r="T1" s="1171"/>
      <c r="U1" s="1171"/>
      <c r="V1" s="1171"/>
      <c r="W1" s="1171"/>
      <c r="X1" s="1171"/>
      <c r="Y1" s="1171"/>
    </row>
    <row r="2" ht="15">
      <c r="A2" s="371"/>
    </row>
    <row r="3" spans="1:25" s="754" customFormat="1" ht="18" customHeight="1">
      <c r="A3" s="1116" t="s">
        <v>595</v>
      </c>
      <c r="B3" s="1116"/>
      <c r="C3" s="1116"/>
      <c r="D3" s="1116"/>
      <c r="E3" s="1116"/>
      <c r="F3" s="1116"/>
      <c r="G3" s="1116"/>
      <c r="H3" s="1116"/>
      <c r="I3" s="1116"/>
      <c r="J3" s="1116"/>
      <c r="K3" s="1116"/>
      <c r="L3" s="1116"/>
      <c r="M3" s="1116"/>
      <c r="N3" s="1116"/>
      <c r="O3" s="1116"/>
      <c r="P3" s="1116"/>
      <c r="Q3" s="1116"/>
      <c r="R3" s="1116"/>
      <c r="S3" s="1116"/>
      <c r="T3" s="1116"/>
      <c r="U3" s="1116"/>
      <c r="V3" s="1116"/>
      <c r="W3" s="1116"/>
      <c r="X3" s="1116"/>
      <c r="Y3" s="1116"/>
    </row>
    <row r="4" spans="1:25" ht="18" customHeight="1">
      <c r="A4" s="1117" t="s">
        <v>787</v>
      </c>
      <c r="B4" s="1117"/>
      <c r="C4" s="1117"/>
      <c r="D4" s="1117"/>
      <c r="E4" s="1117"/>
      <c r="F4" s="1117"/>
      <c r="G4" s="1117"/>
      <c r="H4" s="1117"/>
      <c r="I4" s="1117"/>
      <c r="J4" s="1117"/>
      <c r="K4" s="1117"/>
      <c r="L4" s="1117"/>
      <c r="M4" s="1117"/>
      <c r="N4" s="1117"/>
      <c r="O4" s="1117"/>
      <c r="P4" s="1117"/>
      <c r="Q4" s="1117"/>
      <c r="R4" s="1117"/>
      <c r="S4" s="1117"/>
      <c r="T4" s="1117"/>
      <c r="U4" s="1117"/>
      <c r="V4" s="1117"/>
      <c r="W4" s="1117"/>
      <c r="X4" s="1117"/>
      <c r="Y4" s="1117"/>
    </row>
    <row r="5" spans="2:25" ht="15">
      <c r="B5" s="393"/>
      <c r="C5" s="983">
        <f>(C7/B7)-1</f>
        <v>0.15501081470800293</v>
      </c>
      <c r="D5" s="983"/>
      <c r="E5" s="983"/>
      <c r="F5" s="983"/>
      <c r="G5" s="983"/>
      <c r="H5" s="983"/>
      <c r="I5" s="983"/>
      <c r="J5" s="983"/>
      <c r="K5" s="983"/>
      <c r="L5" s="983"/>
      <c r="M5" s="983"/>
      <c r="N5" s="983"/>
      <c r="O5" s="983"/>
      <c r="P5" s="983"/>
      <c r="Q5" s="983"/>
      <c r="R5" s="983"/>
      <c r="S5" s="983"/>
      <c r="T5" s="983"/>
      <c r="U5" s="983"/>
      <c r="V5" s="983"/>
      <c r="W5" s="987"/>
      <c r="X5" s="987"/>
      <c r="Y5" s="988"/>
    </row>
    <row r="6" spans="1:25" s="52" customFormat="1" ht="18" customHeight="1">
      <c r="A6" s="755"/>
      <c r="B6" s="372" t="s">
        <v>41</v>
      </c>
      <c r="C6" s="372" t="s">
        <v>42</v>
      </c>
      <c r="D6" s="372" t="s">
        <v>43</v>
      </c>
      <c r="E6" s="372" t="s">
        <v>44</v>
      </c>
      <c r="F6" s="372" t="s">
        <v>45</v>
      </c>
      <c r="G6" s="372" t="s">
        <v>46</v>
      </c>
      <c r="H6" s="372" t="s">
        <v>47</v>
      </c>
      <c r="I6" s="372" t="s">
        <v>48</v>
      </c>
      <c r="J6" s="372" t="s">
        <v>49</v>
      </c>
      <c r="K6" s="372" t="s">
        <v>50</v>
      </c>
      <c r="L6" s="372" t="s">
        <v>51</v>
      </c>
      <c r="M6" s="372" t="s">
        <v>52</v>
      </c>
      <c r="N6" s="372" t="s">
        <v>53</v>
      </c>
      <c r="O6" s="372" t="s">
        <v>54</v>
      </c>
      <c r="P6" s="372" t="s">
        <v>55</v>
      </c>
      <c r="Q6" s="372" t="s">
        <v>513</v>
      </c>
      <c r="R6" s="375" t="s">
        <v>542</v>
      </c>
      <c r="S6" s="375" t="s">
        <v>562</v>
      </c>
      <c r="T6" s="372" t="s">
        <v>651</v>
      </c>
      <c r="U6" s="372" t="s">
        <v>663</v>
      </c>
      <c r="V6" s="372" t="s">
        <v>690</v>
      </c>
      <c r="W6" s="372" t="s">
        <v>733</v>
      </c>
      <c r="X6" s="372" t="s">
        <v>784</v>
      </c>
      <c r="Y6" s="825" t="s">
        <v>845</v>
      </c>
    </row>
    <row r="7" spans="1:25" s="394" customFormat="1" ht="18" customHeight="1">
      <c r="A7" s="373" t="s">
        <v>151</v>
      </c>
      <c r="B7" s="358">
        <f aca="true" t="shared" si="0" ref="B7:Y7">SUM(B8:B74)</f>
        <v>11096</v>
      </c>
      <c r="C7" s="358">
        <f t="shared" si="0"/>
        <v>12816</v>
      </c>
      <c r="D7" s="358">
        <f t="shared" si="0"/>
        <v>12086</v>
      </c>
      <c r="E7" s="358">
        <f t="shared" si="0"/>
        <v>14462</v>
      </c>
      <c r="F7" s="358">
        <f t="shared" si="0"/>
        <v>16319</v>
      </c>
      <c r="G7" s="358">
        <f t="shared" si="0"/>
        <v>19007</v>
      </c>
      <c r="H7" s="358">
        <f t="shared" si="0"/>
        <v>41361</v>
      </c>
      <c r="I7" s="358">
        <f t="shared" si="0"/>
        <v>84144</v>
      </c>
      <c r="J7" s="358">
        <f t="shared" si="0"/>
        <v>88788</v>
      </c>
      <c r="K7" s="358">
        <f t="shared" si="0"/>
        <v>92778</v>
      </c>
      <c r="L7" s="358">
        <f t="shared" si="0"/>
        <v>107331</v>
      </c>
      <c r="M7" s="358">
        <f t="shared" si="0"/>
        <v>150468</v>
      </c>
      <c r="N7" s="358">
        <f t="shared" si="0"/>
        <v>157501</v>
      </c>
      <c r="O7" s="358">
        <f t="shared" si="0"/>
        <v>162240</v>
      </c>
      <c r="P7" s="358">
        <f t="shared" si="0"/>
        <v>169460</v>
      </c>
      <c r="Q7" s="358">
        <f t="shared" si="0"/>
        <v>170085</v>
      </c>
      <c r="R7" s="376">
        <f t="shared" si="0"/>
        <v>205925</v>
      </c>
      <c r="S7" s="376">
        <f t="shared" si="0"/>
        <v>204451</v>
      </c>
      <c r="T7" s="358">
        <f t="shared" si="0"/>
        <v>197001</v>
      </c>
      <c r="U7" s="358">
        <f t="shared" si="0"/>
        <v>226087</v>
      </c>
      <c r="V7" s="358">
        <f>SUM(V8:V74)</f>
        <v>215724</v>
      </c>
      <c r="W7" s="358">
        <f>SUM(W8:W74)</f>
        <v>250035</v>
      </c>
      <c r="X7" s="358">
        <f>SUM(X8:X74)</f>
        <v>297356</v>
      </c>
      <c r="Y7" s="826">
        <f t="shared" si="0"/>
        <v>252596</v>
      </c>
    </row>
    <row r="8" spans="1:25" s="65" customFormat="1" ht="18" customHeight="1">
      <c r="A8" s="756" t="s">
        <v>596</v>
      </c>
      <c r="B8" s="374">
        <v>568</v>
      </c>
      <c r="C8" s="374">
        <v>1000</v>
      </c>
      <c r="D8" s="374">
        <v>1001</v>
      </c>
      <c r="E8" s="374">
        <v>1019</v>
      </c>
      <c r="F8" s="374">
        <v>1149</v>
      </c>
      <c r="G8" s="374">
        <v>1023</v>
      </c>
      <c r="H8" s="374">
        <v>1070</v>
      </c>
      <c r="I8" s="374">
        <v>404</v>
      </c>
      <c r="J8" s="374">
        <v>800</v>
      </c>
      <c r="K8" s="374">
        <v>822</v>
      </c>
      <c r="L8" s="374">
        <v>669</v>
      </c>
      <c r="M8" s="374">
        <v>667</v>
      </c>
      <c r="N8" s="374">
        <v>514</v>
      </c>
      <c r="O8" s="378">
        <v>500</v>
      </c>
      <c r="P8" s="378">
        <v>504</v>
      </c>
      <c r="Q8" s="378">
        <v>493</v>
      </c>
      <c r="R8" s="377">
        <v>700</v>
      </c>
      <c r="S8" s="377">
        <v>702</v>
      </c>
      <c r="T8" s="378">
        <v>620</v>
      </c>
      <c r="U8" s="374" t="s">
        <v>90</v>
      </c>
      <c r="V8" s="374" t="s">
        <v>90</v>
      </c>
      <c r="W8" s="374" t="s">
        <v>90</v>
      </c>
      <c r="X8" s="1064" t="s">
        <v>90</v>
      </c>
      <c r="Y8" s="804" t="s">
        <v>90</v>
      </c>
    </row>
    <row r="9" spans="1:25" s="65" customFormat="1" ht="18" customHeight="1">
      <c r="A9" s="756" t="s">
        <v>597</v>
      </c>
      <c r="B9" s="374">
        <v>2062</v>
      </c>
      <c r="C9" s="374">
        <v>2604</v>
      </c>
      <c r="D9" s="374">
        <v>3820</v>
      </c>
      <c r="E9" s="374">
        <v>5538</v>
      </c>
      <c r="F9" s="374">
        <v>7721</v>
      </c>
      <c r="G9" s="374">
        <v>9503</v>
      </c>
      <c r="H9" s="374">
        <v>10290</v>
      </c>
      <c r="I9" s="374">
        <v>11761</v>
      </c>
      <c r="J9" s="374">
        <v>13373</v>
      </c>
      <c r="K9" s="374">
        <v>14584</v>
      </c>
      <c r="L9" s="374">
        <v>22220</v>
      </c>
      <c r="M9" s="374">
        <v>29092</v>
      </c>
      <c r="N9" s="374">
        <v>28766</v>
      </c>
      <c r="O9" s="374">
        <v>36864</v>
      </c>
      <c r="P9" s="374">
        <v>42724</v>
      </c>
      <c r="Q9" s="374">
        <v>45524</v>
      </c>
      <c r="R9" s="757">
        <v>43229</v>
      </c>
      <c r="S9" s="757">
        <v>47507</v>
      </c>
      <c r="T9" s="374">
        <f>37161+1275</f>
        <v>38436</v>
      </c>
      <c r="U9" s="378">
        <f>29312+13647</f>
        <v>42959</v>
      </c>
      <c r="V9" s="378">
        <v>44444</v>
      </c>
      <c r="W9" s="378">
        <v>55555</v>
      </c>
      <c r="X9" s="378">
        <v>87766</v>
      </c>
      <c r="Y9" s="828">
        <v>89024</v>
      </c>
    </row>
    <row r="10" spans="1:25" s="65" customFormat="1" ht="18" customHeight="1">
      <c r="A10" s="756" t="s">
        <v>598</v>
      </c>
      <c r="B10" s="374" t="s">
        <v>90</v>
      </c>
      <c r="C10" s="374" t="s">
        <v>90</v>
      </c>
      <c r="D10" s="374" t="s">
        <v>90</v>
      </c>
      <c r="E10" s="374" t="s">
        <v>90</v>
      </c>
      <c r="F10" s="374" t="s">
        <v>90</v>
      </c>
      <c r="G10" s="374" t="s">
        <v>90</v>
      </c>
      <c r="H10" s="374" t="s">
        <v>90</v>
      </c>
      <c r="I10" s="374" t="s">
        <v>90</v>
      </c>
      <c r="J10" s="374" t="s">
        <v>90</v>
      </c>
      <c r="K10" s="374" t="s">
        <v>90</v>
      </c>
      <c r="L10" s="374" t="s">
        <v>90</v>
      </c>
      <c r="M10" s="374" t="s">
        <v>90</v>
      </c>
      <c r="N10" s="374" t="s">
        <v>90</v>
      </c>
      <c r="O10" s="374" t="s">
        <v>90</v>
      </c>
      <c r="P10" s="374" t="s">
        <v>90</v>
      </c>
      <c r="Q10" s="374" t="s">
        <v>90</v>
      </c>
      <c r="R10" s="757">
        <v>16548</v>
      </c>
      <c r="S10" s="757">
        <v>7143</v>
      </c>
      <c r="T10" s="374">
        <v>6988</v>
      </c>
      <c r="U10" s="374" t="s">
        <v>90</v>
      </c>
      <c r="V10" s="374" t="s">
        <v>90</v>
      </c>
      <c r="W10" s="374" t="s">
        <v>90</v>
      </c>
      <c r="X10" s="1064" t="s">
        <v>90</v>
      </c>
      <c r="Y10" s="804" t="s">
        <v>90</v>
      </c>
    </row>
    <row r="11" spans="1:25" s="65" customFormat="1" ht="18" customHeight="1">
      <c r="A11" s="756" t="s">
        <v>648</v>
      </c>
      <c r="B11" s="374" t="s">
        <v>90</v>
      </c>
      <c r="C11" s="374" t="s">
        <v>90</v>
      </c>
      <c r="D11" s="374" t="s">
        <v>90</v>
      </c>
      <c r="E11" s="374" t="s">
        <v>90</v>
      </c>
      <c r="F11" s="374" t="s">
        <v>90</v>
      </c>
      <c r="G11" s="374" t="s">
        <v>90</v>
      </c>
      <c r="H11" s="374">
        <v>1106</v>
      </c>
      <c r="I11" s="374">
        <v>1243</v>
      </c>
      <c r="J11" s="374">
        <v>1003</v>
      </c>
      <c r="K11" s="374">
        <v>406</v>
      </c>
      <c r="L11" s="374" t="s">
        <v>90</v>
      </c>
      <c r="M11" s="374" t="s">
        <v>90</v>
      </c>
      <c r="N11" s="374" t="s">
        <v>90</v>
      </c>
      <c r="O11" s="374" t="s">
        <v>90</v>
      </c>
      <c r="P11" s="374" t="s">
        <v>90</v>
      </c>
      <c r="Q11" s="374" t="s">
        <v>90</v>
      </c>
      <c r="R11" s="757" t="s">
        <v>90</v>
      </c>
      <c r="S11" s="757" t="s">
        <v>90</v>
      </c>
      <c r="T11" s="374" t="s">
        <v>90</v>
      </c>
      <c r="U11" s="374" t="s">
        <v>90</v>
      </c>
      <c r="V11" s="374" t="s">
        <v>90</v>
      </c>
      <c r="W11" s="374" t="s">
        <v>90</v>
      </c>
      <c r="X11" s="1064" t="s">
        <v>90</v>
      </c>
      <c r="Y11" s="804" t="s">
        <v>90</v>
      </c>
    </row>
    <row r="12" spans="1:25" s="65" customFormat="1" ht="18" customHeight="1">
      <c r="A12" s="756" t="s">
        <v>675</v>
      </c>
      <c r="B12" s="374" t="s">
        <v>90</v>
      </c>
      <c r="C12" s="374" t="s">
        <v>90</v>
      </c>
      <c r="D12" s="374" t="s">
        <v>90</v>
      </c>
      <c r="E12" s="374" t="s">
        <v>90</v>
      </c>
      <c r="F12" s="374" t="s">
        <v>90</v>
      </c>
      <c r="G12" s="374" t="s">
        <v>90</v>
      </c>
      <c r="H12" s="374">
        <v>400</v>
      </c>
      <c r="I12" s="374">
        <v>620</v>
      </c>
      <c r="J12" s="374">
        <v>738</v>
      </c>
      <c r="K12" s="374">
        <v>904</v>
      </c>
      <c r="L12" s="374">
        <v>888</v>
      </c>
      <c r="M12" s="374">
        <v>928</v>
      </c>
      <c r="N12" s="374">
        <v>922</v>
      </c>
      <c r="O12" s="374">
        <v>917</v>
      </c>
      <c r="P12" s="374">
        <v>909</v>
      </c>
      <c r="Q12" s="374">
        <v>751</v>
      </c>
      <c r="R12" s="757">
        <v>849</v>
      </c>
      <c r="S12" s="757">
        <v>809</v>
      </c>
      <c r="T12" s="374">
        <v>842</v>
      </c>
      <c r="U12" s="374">
        <v>1279</v>
      </c>
      <c r="V12" s="374">
        <v>1637</v>
      </c>
      <c r="W12" s="374">
        <v>1669</v>
      </c>
      <c r="X12" s="1064">
        <v>2272</v>
      </c>
      <c r="Y12" s="804">
        <v>1959</v>
      </c>
    </row>
    <row r="13" spans="1:25" s="65" customFormat="1" ht="18" customHeight="1">
      <c r="A13" s="756" t="s">
        <v>599</v>
      </c>
      <c r="B13" s="374" t="s">
        <v>90</v>
      </c>
      <c r="C13" s="374" t="s">
        <v>90</v>
      </c>
      <c r="D13" s="374" t="s">
        <v>90</v>
      </c>
      <c r="E13" s="374" t="s">
        <v>90</v>
      </c>
      <c r="F13" s="374" t="s">
        <v>90</v>
      </c>
      <c r="G13" s="374" t="s">
        <v>90</v>
      </c>
      <c r="H13" s="374">
        <v>92</v>
      </c>
      <c r="I13" s="374">
        <v>42</v>
      </c>
      <c r="J13" s="374">
        <v>42</v>
      </c>
      <c r="K13" s="374" t="s">
        <v>90</v>
      </c>
      <c r="L13" s="374" t="s">
        <v>90</v>
      </c>
      <c r="M13" s="374" t="s">
        <v>90</v>
      </c>
      <c r="N13" s="374" t="s">
        <v>90</v>
      </c>
      <c r="O13" s="374" t="s">
        <v>90</v>
      </c>
      <c r="P13" s="374" t="s">
        <v>90</v>
      </c>
      <c r="Q13" s="374" t="s">
        <v>90</v>
      </c>
      <c r="R13" s="757" t="s">
        <v>90</v>
      </c>
      <c r="S13" s="757" t="s">
        <v>90</v>
      </c>
      <c r="T13" s="374" t="s">
        <v>90</v>
      </c>
      <c r="U13" s="374" t="s">
        <v>90</v>
      </c>
      <c r="V13" s="374" t="s">
        <v>90</v>
      </c>
      <c r="W13" s="374" t="s">
        <v>90</v>
      </c>
      <c r="X13" s="374" t="s">
        <v>90</v>
      </c>
      <c r="Y13" s="374" t="s">
        <v>90</v>
      </c>
    </row>
    <row r="14" spans="1:25" s="65" customFormat="1" ht="18" customHeight="1">
      <c r="A14" s="756" t="s">
        <v>600</v>
      </c>
      <c r="B14" s="374" t="s">
        <v>90</v>
      </c>
      <c r="C14" s="374" t="s">
        <v>90</v>
      </c>
      <c r="D14" s="374" t="s">
        <v>90</v>
      </c>
      <c r="E14" s="374" t="s">
        <v>90</v>
      </c>
      <c r="F14" s="374" t="s">
        <v>90</v>
      </c>
      <c r="G14" s="374" t="s">
        <v>90</v>
      </c>
      <c r="H14" s="374">
        <v>18635</v>
      </c>
      <c r="I14" s="374">
        <v>14680</v>
      </c>
      <c r="J14" s="374">
        <v>7974</v>
      </c>
      <c r="K14" s="374">
        <v>1267</v>
      </c>
      <c r="L14" s="374">
        <v>3554</v>
      </c>
      <c r="M14" s="374">
        <v>3299</v>
      </c>
      <c r="N14" s="374">
        <v>2913</v>
      </c>
      <c r="O14" s="378">
        <v>4371</v>
      </c>
      <c r="P14" s="378">
        <v>2045</v>
      </c>
      <c r="Q14" s="378">
        <v>349</v>
      </c>
      <c r="R14" s="377">
        <v>2088</v>
      </c>
      <c r="S14" s="377">
        <v>767</v>
      </c>
      <c r="T14" s="378">
        <v>1940</v>
      </c>
      <c r="U14" s="374" t="s">
        <v>90</v>
      </c>
      <c r="V14" s="374" t="s">
        <v>90</v>
      </c>
      <c r="W14" s="374" t="s">
        <v>90</v>
      </c>
      <c r="X14" s="374" t="s">
        <v>90</v>
      </c>
      <c r="Y14" s="374" t="s">
        <v>90</v>
      </c>
    </row>
    <row r="15" spans="1:25" s="65" customFormat="1" ht="18" customHeight="1">
      <c r="A15" s="756" t="s">
        <v>601</v>
      </c>
      <c r="B15" s="374" t="s">
        <v>90</v>
      </c>
      <c r="C15" s="374" t="s">
        <v>90</v>
      </c>
      <c r="D15" s="374" t="s">
        <v>90</v>
      </c>
      <c r="E15" s="374" t="s">
        <v>90</v>
      </c>
      <c r="F15" s="374" t="s">
        <v>90</v>
      </c>
      <c r="G15" s="374" t="s">
        <v>90</v>
      </c>
      <c r="H15" s="374" t="s">
        <v>90</v>
      </c>
      <c r="I15" s="374" t="s">
        <v>90</v>
      </c>
      <c r="J15" s="374" t="s">
        <v>90</v>
      </c>
      <c r="K15" s="374" t="s">
        <v>90</v>
      </c>
      <c r="L15" s="374" t="s">
        <v>90</v>
      </c>
      <c r="M15" s="374" t="s">
        <v>90</v>
      </c>
      <c r="N15" s="374" t="s">
        <v>90</v>
      </c>
      <c r="O15" s="378">
        <v>3475</v>
      </c>
      <c r="P15" s="378">
        <v>3320</v>
      </c>
      <c r="Q15" s="378">
        <v>3857</v>
      </c>
      <c r="R15" s="378">
        <v>2904</v>
      </c>
      <c r="S15" s="377">
        <v>4145</v>
      </c>
      <c r="T15" s="378">
        <v>4002</v>
      </c>
      <c r="U15" s="374" t="s">
        <v>90</v>
      </c>
      <c r="V15" s="374" t="s">
        <v>90</v>
      </c>
      <c r="W15" s="374" t="s">
        <v>90</v>
      </c>
      <c r="X15" s="374" t="s">
        <v>90</v>
      </c>
      <c r="Y15" s="374" t="s">
        <v>90</v>
      </c>
    </row>
    <row r="16" spans="1:25" s="65" customFormat="1" ht="18" customHeight="1">
      <c r="A16" s="758" t="s">
        <v>602</v>
      </c>
      <c r="B16" s="374" t="s">
        <v>90</v>
      </c>
      <c r="C16" s="374" t="s">
        <v>90</v>
      </c>
      <c r="D16" s="374" t="s">
        <v>90</v>
      </c>
      <c r="E16" s="374" t="s">
        <v>90</v>
      </c>
      <c r="F16" s="374" t="s">
        <v>90</v>
      </c>
      <c r="G16" s="374" t="s">
        <v>90</v>
      </c>
      <c r="H16" s="374" t="s">
        <v>90</v>
      </c>
      <c r="I16" s="374" t="s">
        <v>90</v>
      </c>
      <c r="J16" s="374" t="s">
        <v>90</v>
      </c>
      <c r="K16" s="374" t="s">
        <v>90</v>
      </c>
      <c r="L16" s="374" t="s">
        <v>90</v>
      </c>
      <c r="M16" s="374" t="s">
        <v>90</v>
      </c>
      <c r="N16" s="374" t="s">
        <v>90</v>
      </c>
      <c r="O16" s="378">
        <v>52</v>
      </c>
      <c r="P16" s="378">
        <v>66</v>
      </c>
      <c r="Q16" s="378">
        <v>211</v>
      </c>
      <c r="R16" s="377">
        <v>469</v>
      </c>
      <c r="S16" s="459">
        <v>1823</v>
      </c>
      <c r="T16" s="487">
        <v>200</v>
      </c>
      <c r="U16" s="374" t="s">
        <v>90</v>
      </c>
      <c r="V16" s="374" t="s">
        <v>90</v>
      </c>
      <c r="W16" s="374" t="s">
        <v>90</v>
      </c>
      <c r="X16" s="374" t="s">
        <v>90</v>
      </c>
      <c r="Y16" s="374" t="s">
        <v>90</v>
      </c>
    </row>
    <row r="17" spans="1:25" s="65" customFormat="1" ht="18" customHeight="1">
      <c r="A17" s="758" t="s">
        <v>603</v>
      </c>
      <c r="B17" s="374" t="s">
        <v>90</v>
      </c>
      <c r="C17" s="374" t="s">
        <v>90</v>
      </c>
      <c r="D17" s="374" t="s">
        <v>90</v>
      </c>
      <c r="E17" s="374" t="s">
        <v>90</v>
      </c>
      <c r="F17" s="374" t="s">
        <v>90</v>
      </c>
      <c r="G17" s="374" t="s">
        <v>90</v>
      </c>
      <c r="H17" s="374" t="s">
        <v>90</v>
      </c>
      <c r="I17" s="374" t="s">
        <v>90</v>
      </c>
      <c r="J17" s="374" t="s">
        <v>90</v>
      </c>
      <c r="K17" s="374" t="s">
        <v>90</v>
      </c>
      <c r="L17" s="374" t="s">
        <v>90</v>
      </c>
      <c r="M17" s="374">
        <v>11259</v>
      </c>
      <c r="N17" s="374">
        <v>9898</v>
      </c>
      <c r="O17" s="519" t="s">
        <v>90</v>
      </c>
      <c r="P17" s="519" t="s">
        <v>90</v>
      </c>
      <c r="Q17" s="519" t="s">
        <v>90</v>
      </c>
      <c r="R17" s="759" t="s">
        <v>90</v>
      </c>
      <c r="S17" s="759" t="s">
        <v>90</v>
      </c>
      <c r="T17" s="519" t="s">
        <v>90</v>
      </c>
      <c r="U17" s="374" t="s">
        <v>90</v>
      </c>
      <c r="V17" s="374" t="s">
        <v>90</v>
      </c>
      <c r="W17" s="374" t="s">
        <v>90</v>
      </c>
      <c r="X17" s="374" t="s">
        <v>90</v>
      </c>
      <c r="Y17" s="374" t="s">
        <v>90</v>
      </c>
    </row>
    <row r="18" spans="1:25" s="65" customFormat="1" ht="18" customHeight="1">
      <c r="A18" s="756" t="s">
        <v>604</v>
      </c>
      <c r="B18" s="374" t="s">
        <v>90</v>
      </c>
      <c r="C18" s="374" t="s">
        <v>90</v>
      </c>
      <c r="D18" s="374" t="s">
        <v>90</v>
      </c>
      <c r="E18" s="374" t="s">
        <v>90</v>
      </c>
      <c r="F18" s="374" t="s">
        <v>90</v>
      </c>
      <c r="G18" s="374" t="s">
        <v>90</v>
      </c>
      <c r="H18" s="374" t="s">
        <v>90</v>
      </c>
      <c r="I18" s="374">
        <v>45186</v>
      </c>
      <c r="J18" s="374">
        <v>48345</v>
      </c>
      <c r="K18" s="374">
        <v>55007</v>
      </c>
      <c r="L18" s="374">
        <v>57892</v>
      </c>
      <c r="M18" s="374">
        <v>59664</v>
      </c>
      <c r="N18" s="374">
        <v>57625</v>
      </c>
      <c r="O18" s="378">
        <v>62106</v>
      </c>
      <c r="P18" s="378">
        <v>65322</v>
      </c>
      <c r="Q18" s="378">
        <v>63320</v>
      </c>
      <c r="R18" s="377">
        <v>59485</v>
      </c>
      <c r="S18" s="377">
        <v>57370</v>
      </c>
      <c r="T18" s="378">
        <v>66214</v>
      </c>
      <c r="U18" s="374" t="s">
        <v>90</v>
      </c>
      <c r="V18" s="374" t="s">
        <v>90</v>
      </c>
      <c r="W18" s="374" t="s">
        <v>90</v>
      </c>
      <c r="X18" s="374" t="s">
        <v>90</v>
      </c>
      <c r="Y18" s="374" t="s">
        <v>90</v>
      </c>
    </row>
    <row r="19" spans="1:25" s="65" customFormat="1" ht="18" customHeight="1">
      <c r="A19" s="756" t="s">
        <v>672</v>
      </c>
      <c r="B19" s="374" t="s">
        <v>90</v>
      </c>
      <c r="C19" s="374" t="s">
        <v>90</v>
      </c>
      <c r="D19" s="374" t="s">
        <v>90</v>
      </c>
      <c r="E19" s="374" t="s">
        <v>90</v>
      </c>
      <c r="F19" s="374" t="s">
        <v>90</v>
      </c>
      <c r="G19" s="374" t="s">
        <v>90</v>
      </c>
      <c r="H19" s="374" t="s">
        <v>90</v>
      </c>
      <c r="I19" s="374" t="s">
        <v>90</v>
      </c>
      <c r="J19" s="374" t="s">
        <v>90</v>
      </c>
      <c r="K19" s="374" t="s">
        <v>90</v>
      </c>
      <c r="L19" s="374" t="s">
        <v>90</v>
      </c>
      <c r="M19" s="374" t="s">
        <v>90</v>
      </c>
      <c r="N19" s="374" t="s">
        <v>90</v>
      </c>
      <c r="O19" s="374" t="s">
        <v>90</v>
      </c>
      <c r="P19" s="374" t="s">
        <v>90</v>
      </c>
      <c r="Q19" s="374" t="s">
        <v>90</v>
      </c>
      <c r="R19" s="374" t="s">
        <v>90</v>
      </c>
      <c r="S19" s="374" t="s">
        <v>90</v>
      </c>
      <c r="T19" s="374" t="s">
        <v>90</v>
      </c>
      <c r="U19" s="378">
        <v>107685</v>
      </c>
      <c r="V19" s="378">
        <v>104595</v>
      </c>
      <c r="W19" s="378">
        <v>102928</v>
      </c>
      <c r="X19" s="378">
        <v>96445</v>
      </c>
      <c r="Y19" s="828">
        <v>96756</v>
      </c>
    </row>
    <row r="20" spans="1:25" s="65" customFormat="1" ht="18" customHeight="1">
      <c r="A20" s="756" t="s">
        <v>764</v>
      </c>
      <c r="B20" s="374"/>
      <c r="C20" s="374"/>
      <c r="D20" s="374"/>
      <c r="E20" s="374"/>
      <c r="F20" s="374"/>
      <c r="G20" s="374"/>
      <c r="H20" s="374"/>
      <c r="I20" s="374"/>
      <c r="J20" s="374"/>
      <c r="K20" s="374"/>
      <c r="L20" s="374"/>
      <c r="M20" s="374"/>
      <c r="N20" s="374"/>
      <c r="O20" s="374"/>
      <c r="P20" s="374"/>
      <c r="Q20" s="374"/>
      <c r="R20" s="374"/>
      <c r="S20" s="374"/>
      <c r="T20" s="374"/>
      <c r="U20" s="378"/>
      <c r="V20" s="378"/>
      <c r="W20" s="378">
        <v>20980</v>
      </c>
      <c r="X20" s="378">
        <v>12636</v>
      </c>
      <c r="Y20" s="829" t="s">
        <v>90</v>
      </c>
    </row>
    <row r="21" spans="1:25" s="65" customFormat="1" ht="18" customHeight="1">
      <c r="A21" s="756" t="s">
        <v>605</v>
      </c>
      <c r="B21" s="374" t="s">
        <v>90</v>
      </c>
      <c r="C21" s="374" t="s">
        <v>90</v>
      </c>
      <c r="D21" s="374" t="s">
        <v>90</v>
      </c>
      <c r="E21" s="374" t="s">
        <v>90</v>
      </c>
      <c r="F21" s="374" t="s">
        <v>90</v>
      </c>
      <c r="G21" s="374" t="s">
        <v>90</v>
      </c>
      <c r="H21" s="374" t="s">
        <v>90</v>
      </c>
      <c r="I21" s="374" t="s">
        <v>90</v>
      </c>
      <c r="J21" s="374" t="s">
        <v>90</v>
      </c>
      <c r="K21" s="374" t="s">
        <v>90</v>
      </c>
      <c r="L21" s="374" t="s">
        <v>90</v>
      </c>
      <c r="M21" s="374" t="s">
        <v>90</v>
      </c>
      <c r="N21" s="374" t="s">
        <v>90</v>
      </c>
      <c r="O21" s="374">
        <v>1960</v>
      </c>
      <c r="P21" s="378">
        <v>2108</v>
      </c>
      <c r="Q21" s="378">
        <v>3101</v>
      </c>
      <c r="R21" s="377">
        <v>2948</v>
      </c>
      <c r="S21" s="377">
        <v>2675</v>
      </c>
      <c r="T21" s="378" t="s">
        <v>90</v>
      </c>
      <c r="U21" s="378" t="s">
        <v>90</v>
      </c>
      <c r="V21" s="378" t="s">
        <v>90</v>
      </c>
      <c r="W21" s="378" t="s">
        <v>90</v>
      </c>
      <c r="X21" s="378"/>
      <c r="Y21" s="829" t="s">
        <v>90</v>
      </c>
    </row>
    <row r="22" spans="1:25" s="516" customFormat="1" ht="18" customHeight="1">
      <c r="A22" s="756" t="s">
        <v>606</v>
      </c>
      <c r="B22" s="519" t="s">
        <v>90</v>
      </c>
      <c r="C22" s="519" t="s">
        <v>90</v>
      </c>
      <c r="D22" s="519" t="s">
        <v>90</v>
      </c>
      <c r="E22" s="519" t="s">
        <v>90</v>
      </c>
      <c r="F22" s="519" t="s">
        <v>90</v>
      </c>
      <c r="G22" s="519" t="s">
        <v>90</v>
      </c>
      <c r="H22" s="519" t="s">
        <v>90</v>
      </c>
      <c r="I22" s="519" t="s">
        <v>90</v>
      </c>
      <c r="J22" s="519" t="s">
        <v>90</v>
      </c>
      <c r="K22" s="519" t="s">
        <v>90</v>
      </c>
      <c r="L22" s="519" t="s">
        <v>90</v>
      </c>
      <c r="M22" s="519" t="s">
        <v>90</v>
      </c>
      <c r="N22" s="519" t="s">
        <v>90</v>
      </c>
      <c r="O22" s="519" t="s">
        <v>90</v>
      </c>
      <c r="P22" s="519" t="s">
        <v>90</v>
      </c>
      <c r="Q22" s="519" t="s">
        <v>90</v>
      </c>
      <c r="R22" s="377">
        <v>14208</v>
      </c>
      <c r="S22" s="377">
        <v>8123</v>
      </c>
      <c r="T22" s="378">
        <v>17133</v>
      </c>
      <c r="U22" s="378">
        <v>10567</v>
      </c>
      <c r="V22" s="378">
        <v>10575</v>
      </c>
      <c r="W22" s="378">
        <v>908</v>
      </c>
      <c r="X22" s="378">
        <v>7898</v>
      </c>
      <c r="Y22" s="828">
        <v>8419</v>
      </c>
    </row>
    <row r="23" spans="1:25" s="516" customFormat="1" ht="18" customHeight="1">
      <c r="A23" s="756" t="s">
        <v>607</v>
      </c>
      <c r="B23" s="374" t="s">
        <v>90</v>
      </c>
      <c r="C23" s="374" t="s">
        <v>90</v>
      </c>
      <c r="D23" s="374" t="s">
        <v>90</v>
      </c>
      <c r="E23" s="374" t="s">
        <v>90</v>
      </c>
      <c r="F23" s="374" t="s">
        <v>90</v>
      </c>
      <c r="G23" s="374" t="s">
        <v>90</v>
      </c>
      <c r="H23" s="374" t="s">
        <v>90</v>
      </c>
      <c r="I23" s="374" t="s">
        <v>90</v>
      </c>
      <c r="J23" s="374" t="s">
        <v>90</v>
      </c>
      <c r="K23" s="374" t="s">
        <v>90</v>
      </c>
      <c r="L23" s="374" t="s">
        <v>90</v>
      </c>
      <c r="M23" s="374" t="s">
        <v>90</v>
      </c>
      <c r="N23" s="374" t="s">
        <v>90</v>
      </c>
      <c r="O23" s="374" t="s">
        <v>90</v>
      </c>
      <c r="P23" s="374" t="s">
        <v>90</v>
      </c>
      <c r="Q23" s="374" t="s">
        <v>90</v>
      </c>
      <c r="R23" s="377">
        <v>8558</v>
      </c>
      <c r="S23" s="377">
        <v>14918</v>
      </c>
      <c r="T23" s="378" t="s">
        <v>90</v>
      </c>
      <c r="U23" s="378" t="s">
        <v>90</v>
      </c>
      <c r="V23" s="378" t="s">
        <v>90</v>
      </c>
      <c r="W23" s="378" t="s">
        <v>90</v>
      </c>
      <c r="X23" s="378"/>
      <c r="Y23" s="828"/>
    </row>
    <row r="24" spans="1:25" s="65" customFormat="1" ht="18" customHeight="1">
      <c r="A24" s="756" t="s">
        <v>608</v>
      </c>
      <c r="B24" s="374" t="s">
        <v>90</v>
      </c>
      <c r="C24" s="374" t="s">
        <v>90</v>
      </c>
      <c r="D24" s="374" t="s">
        <v>90</v>
      </c>
      <c r="E24" s="374" t="s">
        <v>90</v>
      </c>
      <c r="F24" s="374" t="s">
        <v>90</v>
      </c>
      <c r="G24" s="374" t="s">
        <v>90</v>
      </c>
      <c r="H24" s="374" t="s">
        <v>90</v>
      </c>
      <c r="I24" s="374" t="s">
        <v>90</v>
      </c>
      <c r="J24" s="374" t="s">
        <v>90</v>
      </c>
      <c r="K24" s="374" t="s">
        <v>90</v>
      </c>
      <c r="L24" s="374" t="s">
        <v>90</v>
      </c>
      <c r="M24" s="374" t="s">
        <v>90</v>
      </c>
      <c r="N24" s="374" t="s">
        <v>90</v>
      </c>
      <c r="O24" s="374" t="s">
        <v>90</v>
      </c>
      <c r="P24" s="374" t="s">
        <v>90</v>
      </c>
      <c r="Q24" s="374" t="s">
        <v>90</v>
      </c>
      <c r="R24" s="757" t="s">
        <v>90</v>
      </c>
      <c r="S24" s="757">
        <v>3707</v>
      </c>
      <c r="T24" s="374">
        <v>3707</v>
      </c>
      <c r="U24" s="374">
        <v>8612</v>
      </c>
      <c r="V24" s="374">
        <v>8612</v>
      </c>
      <c r="W24" s="374">
        <v>8612</v>
      </c>
      <c r="X24" s="1064">
        <v>13561</v>
      </c>
      <c r="Y24" s="804">
        <v>14049</v>
      </c>
    </row>
    <row r="25" spans="1:25" s="65" customFormat="1" ht="18" customHeight="1">
      <c r="A25" s="756" t="s">
        <v>609</v>
      </c>
      <c r="B25" s="374" t="s">
        <v>90</v>
      </c>
      <c r="C25" s="374" t="s">
        <v>90</v>
      </c>
      <c r="D25" s="374" t="s">
        <v>90</v>
      </c>
      <c r="E25" s="374" t="s">
        <v>90</v>
      </c>
      <c r="F25" s="374" t="s">
        <v>90</v>
      </c>
      <c r="G25" s="374" t="s">
        <v>90</v>
      </c>
      <c r="H25" s="374" t="s">
        <v>90</v>
      </c>
      <c r="I25" s="374" t="s">
        <v>90</v>
      </c>
      <c r="J25" s="374" t="s">
        <v>90</v>
      </c>
      <c r="K25" s="374" t="s">
        <v>90</v>
      </c>
      <c r="L25" s="374" t="s">
        <v>90</v>
      </c>
      <c r="M25" s="374">
        <v>50</v>
      </c>
      <c r="N25" s="374">
        <v>50</v>
      </c>
      <c r="O25" s="378">
        <v>50</v>
      </c>
      <c r="P25" s="378">
        <v>74</v>
      </c>
      <c r="Q25" s="378">
        <v>37</v>
      </c>
      <c r="R25" s="377">
        <v>12</v>
      </c>
      <c r="S25" s="459" t="s">
        <v>90</v>
      </c>
      <c r="T25" s="487" t="s">
        <v>90</v>
      </c>
      <c r="U25" s="378">
        <v>21</v>
      </c>
      <c r="V25" s="487">
        <v>19</v>
      </c>
      <c r="W25" s="487"/>
      <c r="X25" s="487"/>
      <c r="Y25" s="829"/>
    </row>
    <row r="26" spans="1:25" s="65" customFormat="1" ht="18" customHeight="1">
      <c r="A26" s="756" t="s">
        <v>674</v>
      </c>
      <c r="B26" s="374"/>
      <c r="C26" s="374"/>
      <c r="D26" s="374"/>
      <c r="E26" s="374"/>
      <c r="F26" s="374"/>
      <c r="G26" s="374"/>
      <c r="H26" s="374"/>
      <c r="I26" s="374"/>
      <c r="J26" s="374"/>
      <c r="K26" s="374"/>
      <c r="L26" s="374"/>
      <c r="M26" s="374"/>
      <c r="N26" s="374"/>
      <c r="O26" s="378"/>
      <c r="P26" s="378"/>
      <c r="Q26" s="378"/>
      <c r="R26" s="377">
        <v>783</v>
      </c>
      <c r="S26" s="377">
        <v>1037</v>
      </c>
      <c r="T26" s="378">
        <v>2057</v>
      </c>
      <c r="U26" s="378">
        <v>1013</v>
      </c>
      <c r="V26" s="378">
        <v>1855</v>
      </c>
      <c r="W26" s="378">
        <v>1365</v>
      </c>
      <c r="X26" s="378">
        <v>1780</v>
      </c>
      <c r="Y26" s="828">
        <v>1636</v>
      </c>
    </row>
    <row r="27" spans="1:25" s="65" customFormat="1" ht="25.5">
      <c r="A27" s="756" t="s">
        <v>673</v>
      </c>
      <c r="B27" s="374"/>
      <c r="C27" s="374"/>
      <c r="D27" s="374"/>
      <c r="E27" s="374"/>
      <c r="F27" s="374"/>
      <c r="G27" s="374"/>
      <c r="H27" s="374"/>
      <c r="I27" s="374"/>
      <c r="J27" s="374"/>
      <c r="K27" s="374"/>
      <c r="L27" s="374"/>
      <c r="M27" s="374"/>
      <c r="N27" s="374"/>
      <c r="O27" s="378"/>
      <c r="P27" s="378"/>
      <c r="Q27" s="378"/>
      <c r="R27" s="377">
        <v>1196</v>
      </c>
      <c r="S27" s="377"/>
      <c r="T27" s="378"/>
      <c r="U27" s="378">
        <v>892</v>
      </c>
      <c r="V27" s="487" t="s">
        <v>90</v>
      </c>
      <c r="W27" s="487" t="s">
        <v>90</v>
      </c>
      <c r="X27" s="487" t="s">
        <v>90</v>
      </c>
      <c r="Y27" s="829" t="s">
        <v>90</v>
      </c>
    </row>
    <row r="28" spans="1:25" s="65" customFormat="1" ht="18" customHeight="1">
      <c r="A28" s="756" t="s">
        <v>610</v>
      </c>
      <c r="B28" s="374" t="s">
        <v>90</v>
      </c>
      <c r="C28" s="374" t="s">
        <v>90</v>
      </c>
      <c r="D28" s="374" t="s">
        <v>90</v>
      </c>
      <c r="E28" s="374" t="s">
        <v>90</v>
      </c>
      <c r="F28" s="374" t="s">
        <v>90</v>
      </c>
      <c r="G28" s="374" t="s">
        <v>90</v>
      </c>
      <c r="H28" s="374" t="s">
        <v>90</v>
      </c>
      <c r="I28" s="374" t="s">
        <v>90</v>
      </c>
      <c r="J28" s="374" t="s">
        <v>90</v>
      </c>
      <c r="K28" s="374" t="s">
        <v>90</v>
      </c>
      <c r="L28" s="374" t="s">
        <v>90</v>
      </c>
      <c r="M28" s="374">
        <v>3380</v>
      </c>
      <c r="N28" s="374" t="s">
        <v>90</v>
      </c>
      <c r="O28" s="374">
        <v>2772</v>
      </c>
      <c r="P28" s="374">
        <v>1833</v>
      </c>
      <c r="Q28" s="374">
        <v>1225</v>
      </c>
      <c r="R28" s="757">
        <v>1750</v>
      </c>
      <c r="S28" s="759" t="s">
        <v>90</v>
      </c>
      <c r="T28" s="519" t="s">
        <v>90</v>
      </c>
      <c r="U28" s="519">
        <v>584</v>
      </c>
      <c r="V28" s="519" t="s">
        <v>90</v>
      </c>
      <c r="W28" s="519" t="s">
        <v>90</v>
      </c>
      <c r="X28" s="1072" t="s">
        <v>90</v>
      </c>
      <c r="Y28" s="830" t="s">
        <v>90</v>
      </c>
    </row>
    <row r="29" spans="1:25" s="65" customFormat="1" ht="18" customHeight="1">
      <c r="A29" s="756" t="s">
        <v>611</v>
      </c>
      <c r="B29" s="374" t="s">
        <v>90</v>
      </c>
      <c r="C29" s="374" t="s">
        <v>90</v>
      </c>
      <c r="D29" s="374" t="s">
        <v>90</v>
      </c>
      <c r="E29" s="374" t="s">
        <v>90</v>
      </c>
      <c r="F29" s="374" t="s">
        <v>90</v>
      </c>
      <c r="G29" s="374" t="s">
        <v>90</v>
      </c>
      <c r="H29" s="374" t="s">
        <v>90</v>
      </c>
      <c r="I29" s="374" t="s">
        <v>90</v>
      </c>
      <c r="J29" s="374" t="s">
        <v>90</v>
      </c>
      <c r="K29" s="374" t="s">
        <v>90</v>
      </c>
      <c r="L29" s="374" t="s">
        <v>90</v>
      </c>
      <c r="M29" s="374">
        <v>2432</v>
      </c>
      <c r="N29" s="374">
        <v>2362</v>
      </c>
      <c r="O29" s="374">
        <v>4066</v>
      </c>
      <c r="P29" s="374">
        <v>3678</v>
      </c>
      <c r="Q29" s="374">
        <v>1348</v>
      </c>
      <c r="R29" s="759" t="s">
        <v>90</v>
      </c>
      <c r="S29" s="759" t="s">
        <v>90</v>
      </c>
      <c r="T29" s="519" t="s">
        <v>90</v>
      </c>
      <c r="U29" s="519" t="s">
        <v>90</v>
      </c>
      <c r="V29" s="519" t="s">
        <v>90</v>
      </c>
      <c r="W29" s="519" t="s">
        <v>90</v>
      </c>
      <c r="X29" s="1072" t="s">
        <v>90</v>
      </c>
      <c r="Y29" s="830" t="s">
        <v>90</v>
      </c>
    </row>
    <row r="30" spans="1:25" s="65" customFormat="1" ht="18" customHeight="1">
      <c r="A30" s="756" t="s">
        <v>612</v>
      </c>
      <c r="B30" s="374" t="s">
        <v>90</v>
      </c>
      <c r="C30" s="374" t="s">
        <v>90</v>
      </c>
      <c r="D30" s="374" t="s">
        <v>90</v>
      </c>
      <c r="E30" s="374" t="s">
        <v>90</v>
      </c>
      <c r="F30" s="374" t="s">
        <v>90</v>
      </c>
      <c r="G30" s="374" t="s">
        <v>90</v>
      </c>
      <c r="H30" s="374" t="s">
        <v>90</v>
      </c>
      <c r="I30" s="374" t="s">
        <v>90</v>
      </c>
      <c r="J30" s="374">
        <v>5110</v>
      </c>
      <c r="K30" s="374">
        <v>7207</v>
      </c>
      <c r="L30" s="374">
        <v>8394</v>
      </c>
      <c r="M30" s="374">
        <v>10496</v>
      </c>
      <c r="N30" s="374">
        <v>11721</v>
      </c>
      <c r="O30" s="374">
        <v>11519</v>
      </c>
      <c r="P30" s="374">
        <v>11998</v>
      </c>
      <c r="Q30" s="374">
        <v>13149</v>
      </c>
      <c r="R30" s="757">
        <v>12360</v>
      </c>
      <c r="S30" s="757">
        <v>11429</v>
      </c>
      <c r="T30" s="374">
        <v>12263</v>
      </c>
      <c r="U30" s="519" t="s">
        <v>90</v>
      </c>
      <c r="V30" s="519" t="s">
        <v>90</v>
      </c>
      <c r="W30" s="519" t="s">
        <v>90</v>
      </c>
      <c r="X30" s="1072" t="s">
        <v>90</v>
      </c>
      <c r="Y30" s="830" t="s">
        <v>90</v>
      </c>
    </row>
    <row r="31" spans="1:25" s="65" customFormat="1" ht="18" customHeight="1">
      <c r="A31" s="756" t="s">
        <v>613</v>
      </c>
      <c r="B31" s="374" t="s">
        <v>90</v>
      </c>
      <c r="C31" s="374" t="s">
        <v>90</v>
      </c>
      <c r="D31" s="374" t="s">
        <v>90</v>
      </c>
      <c r="E31" s="374" t="s">
        <v>90</v>
      </c>
      <c r="F31" s="374" t="s">
        <v>90</v>
      </c>
      <c r="G31" s="374" t="s">
        <v>90</v>
      </c>
      <c r="H31" s="374" t="s">
        <v>90</v>
      </c>
      <c r="I31" s="374" t="s">
        <v>90</v>
      </c>
      <c r="J31" s="374" t="s">
        <v>90</v>
      </c>
      <c r="K31" s="374" t="s">
        <v>90</v>
      </c>
      <c r="L31" s="374" t="s">
        <v>90</v>
      </c>
      <c r="M31" s="374">
        <v>324</v>
      </c>
      <c r="N31" s="374">
        <v>395</v>
      </c>
      <c r="O31" s="374">
        <v>382</v>
      </c>
      <c r="P31" s="374">
        <v>102</v>
      </c>
      <c r="Q31" s="519">
        <v>101</v>
      </c>
      <c r="R31" s="759">
        <v>110</v>
      </c>
      <c r="S31" s="759" t="s">
        <v>90</v>
      </c>
      <c r="T31" s="519" t="s">
        <v>90</v>
      </c>
      <c r="U31" s="519" t="s">
        <v>90</v>
      </c>
      <c r="V31" s="519" t="s">
        <v>90</v>
      </c>
      <c r="W31" s="519" t="s">
        <v>90</v>
      </c>
      <c r="X31" s="1072" t="s">
        <v>90</v>
      </c>
      <c r="Y31" s="830" t="s">
        <v>90</v>
      </c>
    </row>
    <row r="32" spans="1:25" s="65" customFormat="1" ht="18" customHeight="1">
      <c r="A32" s="756" t="s">
        <v>614</v>
      </c>
      <c r="B32" s="374" t="s">
        <v>90</v>
      </c>
      <c r="C32" s="374" t="s">
        <v>90</v>
      </c>
      <c r="D32" s="374" t="s">
        <v>90</v>
      </c>
      <c r="E32" s="374" t="s">
        <v>90</v>
      </c>
      <c r="F32" s="374" t="s">
        <v>90</v>
      </c>
      <c r="G32" s="374" t="s">
        <v>90</v>
      </c>
      <c r="H32" s="374" t="s">
        <v>90</v>
      </c>
      <c r="I32" s="374" t="s">
        <v>90</v>
      </c>
      <c r="J32" s="374" t="s">
        <v>90</v>
      </c>
      <c r="K32" s="374" t="s">
        <v>90</v>
      </c>
      <c r="L32" s="374" t="s">
        <v>90</v>
      </c>
      <c r="M32" s="374">
        <v>297</v>
      </c>
      <c r="N32" s="374">
        <v>247</v>
      </c>
      <c r="O32" s="374">
        <v>358</v>
      </c>
      <c r="P32" s="374">
        <v>238</v>
      </c>
      <c r="Q32" s="519" t="s">
        <v>90</v>
      </c>
      <c r="R32" s="759">
        <v>120</v>
      </c>
      <c r="S32" s="759" t="s">
        <v>90</v>
      </c>
      <c r="T32" s="519" t="s">
        <v>90</v>
      </c>
      <c r="U32" s="519" t="s">
        <v>90</v>
      </c>
      <c r="V32" s="519" t="s">
        <v>90</v>
      </c>
      <c r="W32" s="519" t="s">
        <v>90</v>
      </c>
      <c r="X32" s="1072" t="s">
        <v>90</v>
      </c>
      <c r="Y32" s="830" t="s">
        <v>90</v>
      </c>
    </row>
    <row r="33" spans="1:25" s="65" customFormat="1" ht="18" customHeight="1">
      <c r="A33" s="756" t="s">
        <v>615</v>
      </c>
      <c r="B33" s="374" t="s">
        <v>90</v>
      </c>
      <c r="C33" s="374" t="s">
        <v>90</v>
      </c>
      <c r="D33" s="374" t="s">
        <v>90</v>
      </c>
      <c r="E33" s="374" t="s">
        <v>90</v>
      </c>
      <c r="F33" s="374" t="s">
        <v>90</v>
      </c>
      <c r="G33" s="374" t="s">
        <v>90</v>
      </c>
      <c r="H33" s="374" t="s">
        <v>90</v>
      </c>
      <c r="I33" s="374" t="s">
        <v>90</v>
      </c>
      <c r="J33" s="374" t="s">
        <v>90</v>
      </c>
      <c r="K33" s="374" t="s">
        <v>90</v>
      </c>
      <c r="L33" s="374" t="s">
        <v>90</v>
      </c>
      <c r="M33" s="374">
        <v>9870</v>
      </c>
      <c r="N33" s="374">
        <v>10086</v>
      </c>
      <c r="O33" s="519" t="s">
        <v>90</v>
      </c>
      <c r="P33" s="519" t="s">
        <v>90</v>
      </c>
      <c r="Q33" s="519" t="s">
        <v>90</v>
      </c>
      <c r="R33" s="759" t="s">
        <v>90</v>
      </c>
      <c r="S33" s="759" t="s">
        <v>90</v>
      </c>
      <c r="T33" s="519" t="s">
        <v>90</v>
      </c>
      <c r="U33" s="519" t="s">
        <v>90</v>
      </c>
      <c r="V33" s="519" t="s">
        <v>90</v>
      </c>
      <c r="W33" s="519" t="s">
        <v>90</v>
      </c>
      <c r="X33" s="1072" t="s">
        <v>90</v>
      </c>
      <c r="Y33" s="830" t="s">
        <v>90</v>
      </c>
    </row>
    <row r="34" spans="1:25" s="65" customFormat="1" ht="18" customHeight="1">
      <c r="A34" s="756" t="s">
        <v>616</v>
      </c>
      <c r="B34" s="374">
        <v>66</v>
      </c>
      <c r="C34" s="374">
        <v>107</v>
      </c>
      <c r="D34" s="374">
        <v>150</v>
      </c>
      <c r="E34" s="374">
        <v>150</v>
      </c>
      <c r="F34" s="374">
        <v>199</v>
      </c>
      <c r="G34" s="374">
        <v>199</v>
      </c>
      <c r="H34" s="374">
        <v>200</v>
      </c>
      <c r="I34" s="374">
        <v>167</v>
      </c>
      <c r="J34" s="374">
        <v>162</v>
      </c>
      <c r="K34" s="374">
        <v>182</v>
      </c>
      <c r="L34" s="374">
        <v>196</v>
      </c>
      <c r="M34" s="374">
        <v>200</v>
      </c>
      <c r="N34" s="374">
        <v>293</v>
      </c>
      <c r="O34" s="378">
        <v>184</v>
      </c>
      <c r="P34" s="378">
        <v>210</v>
      </c>
      <c r="Q34" s="378">
        <v>233</v>
      </c>
      <c r="R34" s="377">
        <v>305</v>
      </c>
      <c r="S34" s="377">
        <v>446</v>
      </c>
      <c r="T34" s="378">
        <v>300</v>
      </c>
      <c r="U34" s="519" t="s">
        <v>90</v>
      </c>
      <c r="V34" s="519" t="s">
        <v>90</v>
      </c>
      <c r="W34" s="519" t="s">
        <v>90</v>
      </c>
      <c r="X34" s="1072" t="s">
        <v>90</v>
      </c>
      <c r="Y34" s="830" t="s">
        <v>90</v>
      </c>
    </row>
    <row r="35" spans="1:25" s="65" customFormat="1" ht="18" customHeight="1">
      <c r="A35" s="756" t="s">
        <v>617</v>
      </c>
      <c r="B35" s="374" t="s">
        <v>90</v>
      </c>
      <c r="C35" s="374" t="s">
        <v>90</v>
      </c>
      <c r="D35" s="374" t="s">
        <v>90</v>
      </c>
      <c r="E35" s="374" t="s">
        <v>90</v>
      </c>
      <c r="F35" s="374" t="s">
        <v>90</v>
      </c>
      <c r="G35" s="374" t="s">
        <v>90</v>
      </c>
      <c r="H35" s="374" t="s">
        <v>90</v>
      </c>
      <c r="I35" s="374" t="s">
        <v>90</v>
      </c>
      <c r="J35" s="374" t="s">
        <v>90</v>
      </c>
      <c r="K35" s="374" t="s">
        <v>90</v>
      </c>
      <c r="L35" s="374" t="s">
        <v>90</v>
      </c>
      <c r="M35" s="374">
        <v>731</v>
      </c>
      <c r="N35" s="374">
        <v>553</v>
      </c>
      <c r="O35" s="374">
        <v>601</v>
      </c>
      <c r="P35" s="519">
        <v>482</v>
      </c>
      <c r="Q35" s="374">
        <v>491</v>
      </c>
      <c r="R35" s="757">
        <v>1280</v>
      </c>
      <c r="S35" s="759" t="s">
        <v>90</v>
      </c>
      <c r="T35" s="519" t="s">
        <v>90</v>
      </c>
      <c r="U35" s="519" t="s">
        <v>90</v>
      </c>
      <c r="V35" s="519" t="s">
        <v>90</v>
      </c>
      <c r="W35" s="519" t="s">
        <v>90</v>
      </c>
      <c r="X35" s="1072" t="s">
        <v>90</v>
      </c>
      <c r="Y35" s="830" t="s">
        <v>90</v>
      </c>
    </row>
    <row r="36" spans="1:25" s="65" customFormat="1" ht="18" customHeight="1">
      <c r="A36" s="756" t="s">
        <v>618</v>
      </c>
      <c r="B36" s="374" t="s">
        <v>90</v>
      </c>
      <c r="C36" s="374" t="s">
        <v>90</v>
      </c>
      <c r="D36" s="374" t="s">
        <v>90</v>
      </c>
      <c r="E36" s="374" t="s">
        <v>90</v>
      </c>
      <c r="F36" s="374" t="s">
        <v>90</v>
      </c>
      <c r="G36" s="374" t="s">
        <v>90</v>
      </c>
      <c r="H36" s="374" t="s">
        <v>90</v>
      </c>
      <c r="I36" s="374" t="s">
        <v>90</v>
      </c>
      <c r="J36" s="374" t="s">
        <v>90</v>
      </c>
      <c r="K36" s="374" t="s">
        <v>90</v>
      </c>
      <c r="L36" s="374" t="s">
        <v>90</v>
      </c>
      <c r="M36" s="374">
        <v>2683</v>
      </c>
      <c r="N36" s="374">
        <v>3501</v>
      </c>
      <c r="O36" s="374">
        <v>3319</v>
      </c>
      <c r="P36" s="374">
        <v>3298</v>
      </c>
      <c r="Q36" s="519">
        <v>1998</v>
      </c>
      <c r="R36" s="759" t="s">
        <v>90</v>
      </c>
      <c r="S36" s="759" t="s">
        <v>90</v>
      </c>
      <c r="T36" s="519" t="s">
        <v>90</v>
      </c>
      <c r="U36" s="519" t="s">
        <v>90</v>
      </c>
      <c r="V36" s="519" t="s">
        <v>90</v>
      </c>
      <c r="W36" s="519" t="s">
        <v>90</v>
      </c>
      <c r="X36" s="1072" t="s">
        <v>90</v>
      </c>
      <c r="Y36" s="830" t="s">
        <v>90</v>
      </c>
    </row>
    <row r="37" spans="1:25" s="65" customFormat="1" ht="18" customHeight="1">
      <c r="A37" s="756" t="s">
        <v>619</v>
      </c>
      <c r="B37" s="374" t="s">
        <v>90</v>
      </c>
      <c r="C37" s="374" t="s">
        <v>90</v>
      </c>
      <c r="D37" s="374" t="s">
        <v>90</v>
      </c>
      <c r="E37" s="374" t="s">
        <v>90</v>
      </c>
      <c r="F37" s="374" t="s">
        <v>90</v>
      </c>
      <c r="G37" s="374" t="s">
        <v>90</v>
      </c>
      <c r="H37" s="374" t="s">
        <v>90</v>
      </c>
      <c r="I37" s="374" t="s">
        <v>90</v>
      </c>
      <c r="J37" s="374" t="s">
        <v>90</v>
      </c>
      <c r="K37" s="374" t="s">
        <v>90</v>
      </c>
      <c r="L37" s="374">
        <v>157</v>
      </c>
      <c r="M37" s="374">
        <v>446</v>
      </c>
      <c r="N37" s="374">
        <v>581</v>
      </c>
      <c r="O37" s="374">
        <v>573</v>
      </c>
      <c r="P37" s="374">
        <v>791</v>
      </c>
      <c r="Q37" s="374">
        <v>746</v>
      </c>
      <c r="R37" s="757">
        <v>697</v>
      </c>
      <c r="S37" s="757">
        <v>516</v>
      </c>
      <c r="T37" s="374">
        <v>221</v>
      </c>
      <c r="U37" s="374">
        <v>575</v>
      </c>
      <c r="V37" s="374">
        <v>137</v>
      </c>
      <c r="W37" s="374">
        <v>367</v>
      </c>
      <c r="X37" s="1064">
        <v>386</v>
      </c>
      <c r="Y37" s="804">
        <v>378</v>
      </c>
    </row>
    <row r="38" spans="1:25" s="65" customFormat="1" ht="18" customHeight="1">
      <c r="A38" s="973" t="s">
        <v>762</v>
      </c>
      <c r="B38" s="406"/>
      <c r="C38" s="406"/>
      <c r="D38" s="406"/>
      <c r="E38" s="406"/>
      <c r="F38" s="406"/>
      <c r="G38" s="406"/>
      <c r="H38" s="406"/>
      <c r="I38" s="406"/>
      <c r="J38" s="406"/>
      <c r="K38" s="406"/>
      <c r="L38" s="406"/>
      <c r="M38" s="406"/>
      <c r="N38" s="406"/>
      <c r="O38" s="406"/>
      <c r="P38" s="406"/>
      <c r="Q38" s="406"/>
      <c r="R38" s="974"/>
      <c r="S38" s="974"/>
      <c r="T38" s="406"/>
      <c r="U38" s="406"/>
      <c r="V38" s="406"/>
      <c r="W38" s="406">
        <v>182</v>
      </c>
      <c r="X38" s="1044">
        <v>164</v>
      </c>
      <c r="Y38" s="953">
        <v>106</v>
      </c>
    </row>
    <row r="39" spans="1:25" s="65" customFormat="1" ht="18" customHeight="1">
      <c r="A39" s="973" t="s">
        <v>763</v>
      </c>
      <c r="B39" s="406"/>
      <c r="C39" s="406"/>
      <c r="D39" s="406"/>
      <c r="E39" s="406"/>
      <c r="F39" s="406"/>
      <c r="G39" s="406"/>
      <c r="H39" s="406"/>
      <c r="I39" s="406"/>
      <c r="J39" s="406"/>
      <c r="K39" s="406"/>
      <c r="L39" s="406"/>
      <c r="M39" s="406"/>
      <c r="N39" s="406"/>
      <c r="O39" s="406"/>
      <c r="P39" s="406"/>
      <c r="Q39" s="406"/>
      <c r="R39" s="974"/>
      <c r="S39" s="974"/>
      <c r="T39" s="406"/>
      <c r="U39" s="406"/>
      <c r="V39" s="406"/>
      <c r="W39" s="406">
        <v>51</v>
      </c>
      <c r="X39" s="1042" t="s">
        <v>90</v>
      </c>
      <c r="Y39" s="976" t="s">
        <v>90</v>
      </c>
    </row>
    <row r="40" spans="1:25" s="65" customFormat="1" ht="18" customHeight="1">
      <c r="A40" s="756" t="s">
        <v>620</v>
      </c>
      <c r="B40" s="374">
        <v>3111</v>
      </c>
      <c r="C40" s="374">
        <v>3814</v>
      </c>
      <c r="D40" s="374">
        <v>1389</v>
      </c>
      <c r="E40" s="374">
        <v>2445</v>
      </c>
      <c r="F40" s="374" t="s">
        <v>90</v>
      </c>
      <c r="G40" s="374" t="s">
        <v>90</v>
      </c>
      <c r="H40" s="374" t="s">
        <v>90</v>
      </c>
      <c r="I40" s="374" t="s">
        <v>90</v>
      </c>
      <c r="J40" s="374" t="s">
        <v>90</v>
      </c>
      <c r="K40" s="374" t="s">
        <v>90</v>
      </c>
      <c r="L40" s="374" t="s">
        <v>90</v>
      </c>
      <c r="M40" s="374" t="s">
        <v>90</v>
      </c>
      <c r="N40" s="374" t="s">
        <v>90</v>
      </c>
      <c r="O40" s="374" t="s">
        <v>90</v>
      </c>
      <c r="P40" s="374" t="s">
        <v>90</v>
      </c>
      <c r="Q40" s="374" t="s">
        <v>90</v>
      </c>
      <c r="R40" s="757" t="s">
        <v>90</v>
      </c>
      <c r="S40" s="757" t="s">
        <v>90</v>
      </c>
      <c r="T40" s="374" t="s">
        <v>90</v>
      </c>
      <c r="U40" s="374" t="s">
        <v>90</v>
      </c>
      <c r="V40" s="374" t="s">
        <v>90</v>
      </c>
      <c r="W40" s="374" t="s">
        <v>90</v>
      </c>
      <c r="X40" s="1064" t="s">
        <v>90</v>
      </c>
      <c r="Y40" s="804" t="s">
        <v>90</v>
      </c>
    </row>
    <row r="41" spans="1:25" s="65" customFormat="1" ht="18" customHeight="1">
      <c r="A41" s="756" t="s">
        <v>621</v>
      </c>
      <c r="B41" s="374">
        <v>745</v>
      </c>
      <c r="C41" s="374">
        <v>1213</v>
      </c>
      <c r="D41" s="374">
        <v>1333</v>
      </c>
      <c r="E41" s="374">
        <v>1401</v>
      </c>
      <c r="F41" s="374">
        <v>1090</v>
      </c>
      <c r="G41" s="374" t="s">
        <v>90</v>
      </c>
      <c r="H41" s="374" t="s">
        <v>90</v>
      </c>
      <c r="I41" s="374" t="s">
        <v>90</v>
      </c>
      <c r="J41" s="374" t="s">
        <v>90</v>
      </c>
      <c r="K41" s="374" t="s">
        <v>90</v>
      </c>
      <c r="L41" s="374" t="s">
        <v>90</v>
      </c>
      <c r="M41" s="374" t="s">
        <v>90</v>
      </c>
      <c r="N41" s="374" t="s">
        <v>90</v>
      </c>
      <c r="O41" s="374" t="s">
        <v>90</v>
      </c>
      <c r="P41" s="374" t="s">
        <v>90</v>
      </c>
      <c r="Q41" s="374" t="s">
        <v>90</v>
      </c>
      <c r="R41" s="757" t="s">
        <v>90</v>
      </c>
      <c r="S41" s="757" t="s">
        <v>90</v>
      </c>
      <c r="T41" s="374" t="s">
        <v>90</v>
      </c>
      <c r="U41" s="374" t="s">
        <v>90</v>
      </c>
      <c r="V41" s="374" t="s">
        <v>90</v>
      </c>
      <c r="W41" s="374" t="s">
        <v>90</v>
      </c>
      <c r="X41" s="1064" t="s">
        <v>90</v>
      </c>
      <c r="Y41" s="804" t="s">
        <v>90</v>
      </c>
    </row>
    <row r="42" spans="1:25" s="65" customFormat="1" ht="18" customHeight="1">
      <c r="A42" s="756" t="s">
        <v>622</v>
      </c>
      <c r="B42" s="374" t="s">
        <v>90</v>
      </c>
      <c r="C42" s="374" t="s">
        <v>90</v>
      </c>
      <c r="D42" s="374" t="s">
        <v>90</v>
      </c>
      <c r="E42" s="374" t="s">
        <v>90</v>
      </c>
      <c r="F42" s="374">
        <v>941</v>
      </c>
      <c r="G42" s="374">
        <v>2302</v>
      </c>
      <c r="H42" s="374">
        <v>2642</v>
      </c>
      <c r="I42" s="374">
        <v>2549</v>
      </c>
      <c r="J42" s="374">
        <v>2829</v>
      </c>
      <c r="K42" s="374">
        <v>3043</v>
      </c>
      <c r="L42" s="374">
        <v>3458</v>
      </c>
      <c r="M42" s="374">
        <v>3764</v>
      </c>
      <c r="N42" s="374">
        <f>1576+1722</f>
        <v>3298</v>
      </c>
      <c r="O42" s="374">
        <v>3083</v>
      </c>
      <c r="P42" s="374">
        <v>3194</v>
      </c>
      <c r="Q42" s="374">
        <v>3207</v>
      </c>
      <c r="R42" s="757">
        <v>3153</v>
      </c>
      <c r="S42" s="757">
        <v>3968</v>
      </c>
      <c r="T42" s="374">
        <v>3968</v>
      </c>
      <c r="U42" s="374">
        <v>11767</v>
      </c>
      <c r="V42" s="374">
        <v>11767</v>
      </c>
      <c r="W42" s="378">
        <v>17758</v>
      </c>
      <c r="X42" s="378">
        <v>30075</v>
      </c>
      <c r="Y42" s="828">
        <v>17931</v>
      </c>
    </row>
    <row r="43" spans="1:25" s="65" customFormat="1" ht="18" customHeight="1">
      <c r="A43" s="756" t="s">
        <v>623</v>
      </c>
      <c r="B43" s="374">
        <v>227</v>
      </c>
      <c r="C43" s="374">
        <v>264</v>
      </c>
      <c r="D43" s="374">
        <v>238</v>
      </c>
      <c r="E43" s="374">
        <v>244</v>
      </c>
      <c r="F43" s="374">
        <v>280</v>
      </c>
      <c r="G43" s="374" t="s">
        <v>90</v>
      </c>
      <c r="H43" s="374" t="s">
        <v>90</v>
      </c>
      <c r="I43" s="374" t="s">
        <v>90</v>
      </c>
      <c r="J43" s="374" t="s">
        <v>90</v>
      </c>
      <c r="K43" s="374" t="s">
        <v>90</v>
      </c>
      <c r="L43" s="374" t="s">
        <v>90</v>
      </c>
      <c r="M43" s="374" t="s">
        <v>90</v>
      </c>
      <c r="N43" s="374" t="s">
        <v>90</v>
      </c>
      <c r="O43" s="374" t="s">
        <v>90</v>
      </c>
      <c r="P43" s="374" t="s">
        <v>90</v>
      </c>
      <c r="Q43" s="374" t="s">
        <v>90</v>
      </c>
      <c r="R43" s="757" t="s">
        <v>90</v>
      </c>
      <c r="S43" s="757" t="s">
        <v>90</v>
      </c>
      <c r="T43" s="374" t="s">
        <v>90</v>
      </c>
      <c r="U43" s="374" t="s">
        <v>90</v>
      </c>
      <c r="V43" s="374" t="s">
        <v>90</v>
      </c>
      <c r="W43" s="374" t="s">
        <v>90</v>
      </c>
      <c r="X43" s="1064" t="s">
        <v>90</v>
      </c>
      <c r="Y43" s="804" t="s">
        <v>90</v>
      </c>
    </row>
    <row r="44" spans="1:25" s="65" customFormat="1" ht="18" customHeight="1">
      <c r="A44" s="756" t="s">
        <v>624</v>
      </c>
      <c r="B44" s="374">
        <v>297</v>
      </c>
      <c r="C44" s="374">
        <v>349</v>
      </c>
      <c r="D44" s="374">
        <v>356</v>
      </c>
      <c r="E44" s="374">
        <v>334</v>
      </c>
      <c r="F44" s="374">
        <v>346</v>
      </c>
      <c r="G44" s="374">
        <v>343</v>
      </c>
      <c r="H44" s="374">
        <v>403</v>
      </c>
      <c r="I44" s="374">
        <v>334</v>
      </c>
      <c r="J44" s="374">
        <v>221</v>
      </c>
      <c r="K44" s="374">
        <v>139</v>
      </c>
      <c r="L44" s="374">
        <v>95</v>
      </c>
      <c r="M44" s="374">
        <v>68</v>
      </c>
      <c r="N44" s="374">
        <v>207</v>
      </c>
      <c r="O44" s="374">
        <v>191</v>
      </c>
      <c r="P44" s="374">
        <v>202</v>
      </c>
      <c r="Q44" s="374">
        <v>178</v>
      </c>
      <c r="R44" s="757">
        <v>183</v>
      </c>
      <c r="S44" s="757">
        <v>172</v>
      </c>
      <c r="T44" s="374">
        <v>161</v>
      </c>
      <c r="U44" s="374">
        <v>194</v>
      </c>
      <c r="V44" s="374">
        <v>155</v>
      </c>
      <c r="W44" s="374">
        <v>196</v>
      </c>
      <c r="X44" s="1064">
        <v>133</v>
      </c>
      <c r="Y44" s="804">
        <v>118</v>
      </c>
    </row>
    <row r="45" spans="1:25" s="65" customFormat="1" ht="18" customHeight="1">
      <c r="A45" s="756" t="s">
        <v>625</v>
      </c>
      <c r="B45" s="374">
        <v>248</v>
      </c>
      <c r="C45" s="374">
        <v>296</v>
      </c>
      <c r="D45" s="374">
        <v>295</v>
      </c>
      <c r="E45" s="374">
        <v>192</v>
      </c>
      <c r="F45" s="374">
        <v>230</v>
      </c>
      <c r="G45" s="374">
        <v>315</v>
      </c>
      <c r="H45" s="374">
        <v>369</v>
      </c>
      <c r="I45" s="374">
        <v>342</v>
      </c>
      <c r="J45" s="374">
        <v>287</v>
      </c>
      <c r="K45" s="374">
        <v>323</v>
      </c>
      <c r="L45" s="374">
        <v>369</v>
      </c>
      <c r="M45" s="374">
        <v>396</v>
      </c>
      <c r="N45" s="374">
        <v>406</v>
      </c>
      <c r="O45" s="374">
        <v>419</v>
      </c>
      <c r="P45" s="374">
        <v>393</v>
      </c>
      <c r="Q45" s="374">
        <v>415</v>
      </c>
      <c r="R45" s="757">
        <v>405</v>
      </c>
      <c r="S45" s="757">
        <v>434</v>
      </c>
      <c r="T45" s="374">
        <v>454</v>
      </c>
      <c r="U45" s="374">
        <v>446</v>
      </c>
      <c r="V45" s="374">
        <v>305</v>
      </c>
      <c r="W45" s="374">
        <v>244</v>
      </c>
      <c r="X45" s="1064">
        <v>362</v>
      </c>
      <c r="Y45" s="804">
        <v>485</v>
      </c>
    </row>
    <row r="46" spans="1:25" s="65" customFormat="1" ht="18" customHeight="1">
      <c r="A46" s="756" t="s">
        <v>626</v>
      </c>
      <c r="B46" s="374" t="s">
        <v>90</v>
      </c>
      <c r="C46" s="374" t="s">
        <v>90</v>
      </c>
      <c r="D46" s="374" t="s">
        <v>90</v>
      </c>
      <c r="E46" s="374" t="s">
        <v>90</v>
      </c>
      <c r="F46" s="374" t="s">
        <v>90</v>
      </c>
      <c r="G46" s="374" t="s">
        <v>90</v>
      </c>
      <c r="H46" s="374">
        <v>51</v>
      </c>
      <c r="I46" s="374">
        <v>47</v>
      </c>
      <c r="J46" s="374">
        <v>65</v>
      </c>
      <c r="K46" s="374">
        <v>31</v>
      </c>
      <c r="L46" s="374">
        <v>15</v>
      </c>
      <c r="M46" s="374">
        <v>25</v>
      </c>
      <c r="N46" s="374">
        <v>38</v>
      </c>
      <c r="O46" s="374">
        <v>32</v>
      </c>
      <c r="P46" s="374">
        <v>28</v>
      </c>
      <c r="Q46" s="374">
        <v>26</v>
      </c>
      <c r="R46" s="757">
        <v>41</v>
      </c>
      <c r="S46" s="757">
        <v>40</v>
      </c>
      <c r="T46" s="374">
        <v>39</v>
      </c>
      <c r="U46" s="374">
        <v>80</v>
      </c>
      <c r="V46" s="374">
        <v>37</v>
      </c>
      <c r="W46" s="374">
        <v>36</v>
      </c>
      <c r="X46" s="1064">
        <v>47</v>
      </c>
      <c r="Y46" s="830" t="s">
        <v>90</v>
      </c>
    </row>
    <row r="47" spans="1:25" s="65" customFormat="1" ht="18" customHeight="1">
      <c r="A47" s="756" t="s">
        <v>627</v>
      </c>
      <c r="B47" s="374" t="s">
        <v>90</v>
      </c>
      <c r="C47" s="374" t="s">
        <v>90</v>
      </c>
      <c r="D47" s="374" t="s">
        <v>90</v>
      </c>
      <c r="E47" s="374" t="s">
        <v>90</v>
      </c>
      <c r="F47" s="374" t="s">
        <v>90</v>
      </c>
      <c r="G47" s="374">
        <v>50</v>
      </c>
      <c r="H47" s="374">
        <v>146</v>
      </c>
      <c r="I47" s="374">
        <v>242</v>
      </c>
      <c r="J47" s="374">
        <v>339</v>
      </c>
      <c r="K47" s="374">
        <v>393</v>
      </c>
      <c r="L47" s="374">
        <v>457</v>
      </c>
      <c r="M47" s="374">
        <v>550</v>
      </c>
      <c r="N47" s="374">
        <v>626</v>
      </c>
      <c r="O47" s="374">
        <v>692</v>
      </c>
      <c r="P47" s="374">
        <v>793</v>
      </c>
      <c r="Q47" s="374">
        <v>887</v>
      </c>
      <c r="R47" s="757">
        <v>972</v>
      </c>
      <c r="S47" s="757">
        <v>1037</v>
      </c>
      <c r="T47" s="374">
        <v>1046</v>
      </c>
      <c r="U47" s="374">
        <v>1094</v>
      </c>
      <c r="V47" s="374">
        <v>1100</v>
      </c>
      <c r="W47" s="374">
        <v>1250</v>
      </c>
      <c r="X47" s="1064">
        <v>1315</v>
      </c>
      <c r="Y47" s="804">
        <v>1360</v>
      </c>
    </row>
    <row r="48" spans="1:25" s="65" customFormat="1" ht="18" customHeight="1">
      <c r="A48" s="756" t="s">
        <v>628</v>
      </c>
      <c r="B48" s="374" t="s">
        <v>90</v>
      </c>
      <c r="C48" s="374" t="s">
        <v>90</v>
      </c>
      <c r="D48" s="374" t="s">
        <v>90</v>
      </c>
      <c r="E48" s="374" t="s">
        <v>90</v>
      </c>
      <c r="F48" s="374" t="s">
        <v>90</v>
      </c>
      <c r="G48" s="374" t="s">
        <v>90</v>
      </c>
      <c r="H48" s="374">
        <v>138</v>
      </c>
      <c r="I48" s="374">
        <v>107</v>
      </c>
      <c r="J48" s="374">
        <v>50</v>
      </c>
      <c r="K48" s="374" t="s">
        <v>90</v>
      </c>
      <c r="L48" s="374">
        <v>52</v>
      </c>
      <c r="M48" s="374">
        <v>82</v>
      </c>
      <c r="N48" s="374">
        <v>66</v>
      </c>
      <c r="O48" s="374">
        <v>60</v>
      </c>
      <c r="P48" s="374">
        <v>80</v>
      </c>
      <c r="Q48" s="374">
        <v>82</v>
      </c>
      <c r="R48" s="757">
        <v>50</v>
      </c>
      <c r="S48" s="757">
        <v>30</v>
      </c>
      <c r="T48" s="374"/>
      <c r="U48" s="374">
        <v>26</v>
      </c>
      <c r="V48" s="374">
        <v>32</v>
      </c>
      <c r="W48" s="374">
        <v>29</v>
      </c>
      <c r="X48" s="1072" t="s">
        <v>90</v>
      </c>
      <c r="Y48" s="830" t="s">
        <v>90</v>
      </c>
    </row>
    <row r="49" spans="1:25" s="65" customFormat="1" ht="18" customHeight="1">
      <c r="A49" s="756" t="s">
        <v>629</v>
      </c>
      <c r="B49" s="374" t="s">
        <v>90</v>
      </c>
      <c r="C49" s="374" t="s">
        <v>90</v>
      </c>
      <c r="D49" s="374" t="s">
        <v>90</v>
      </c>
      <c r="E49" s="374" t="s">
        <v>90</v>
      </c>
      <c r="F49" s="374" t="s">
        <v>90</v>
      </c>
      <c r="G49" s="374" t="s">
        <v>90</v>
      </c>
      <c r="H49" s="374">
        <v>78</v>
      </c>
      <c r="I49" s="374">
        <v>100</v>
      </c>
      <c r="J49" s="374">
        <v>63</v>
      </c>
      <c r="K49" s="374">
        <v>55</v>
      </c>
      <c r="L49" s="374">
        <v>43</v>
      </c>
      <c r="M49" s="374">
        <v>48</v>
      </c>
      <c r="N49" s="374">
        <v>50</v>
      </c>
      <c r="O49" s="374">
        <v>69</v>
      </c>
      <c r="P49" s="374">
        <v>94</v>
      </c>
      <c r="Q49" s="374">
        <v>96</v>
      </c>
      <c r="R49" s="757">
        <v>35</v>
      </c>
      <c r="S49" s="757">
        <v>165</v>
      </c>
      <c r="T49" s="374">
        <v>162</v>
      </c>
      <c r="U49" s="374">
        <v>575</v>
      </c>
      <c r="V49" s="374">
        <v>575</v>
      </c>
      <c r="W49" s="374">
        <v>574</v>
      </c>
      <c r="X49" s="1064">
        <v>1335</v>
      </c>
      <c r="Y49" s="804">
        <v>844</v>
      </c>
    </row>
    <row r="50" spans="1:25" s="65" customFormat="1" ht="18" customHeight="1">
      <c r="A50" s="756" t="s">
        <v>630</v>
      </c>
      <c r="B50" s="374" t="s">
        <v>90</v>
      </c>
      <c r="C50" s="374" t="s">
        <v>90</v>
      </c>
      <c r="D50" s="374" t="s">
        <v>90</v>
      </c>
      <c r="E50" s="374" t="s">
        <v>90</v>
      </c>
      <c r="F50" s="374" t="s">
        <v>90</v>
      </c>
      <c r="G50" s="374" t="s">
        <v>90</v>
      </c>
      <c r="H50" s="374" t="s">
        <v>90</v>
      </c>
      <c r="I50" s="374" t="s">
        <v>90</v>
      </c>
      <c r="J50" s="374" t="s">
        <v>90</v>
      </c>
      <c r="K50" s="374" t="s">
        <v>90</v>
      </c>
      <c r="L50" s="374" t="s">
        <v>90</v>
      </c>
      <c r="M50" s="374">
        <v>200</v>
      </c>
      <c r="N50" s="374">
        <v>400</v>
      </c>
      <c r="O50" s="374">
        <v>800</v>
      </c>
      <c r="P50" s="374">
        <v>1065</v>
      </c>
      <c r="Q50" s="374">
        <v>3669</v>
      </c>
      <c r="R50" s="757">
        <v>4157</v>
      </c>
      <c r="S50" s="757">
        <v>3350</v>
      </c>
      <c r="T50" s="374">
        <v>3203</v>
      </c>
      <c r="U50" s="374">
        <v>3119</v>
      </c>
      <c r="V50" s="374">
        <v>2215</v>
      </c>
      <c r="W50" s="374">
        <v>2692</v>
      </c>
      <c r="X50" s="1064">
        <v>5663</v>
      </c>
      <c r="Y50" s="804">
        <v>5748</v>
      </c>
    </row>
    <row r="51" spans="1:25" s="65" customFormat="1" ht="18" customHeight="1">
      <c r="A51" s="756" t="s">
        <v>631</v>
      </c>
      <c r="B51" s="374" t="s">
        <v>90</v>
      </c>
      <c r="C51" s="374" t="s">
        <v>90</v>
      </c>
      <c r="D51" s="374" t="s">
        <v>90</v>
      </c>
      <c r="E51" s="374" t="s">
        <v>90</v>
      </c>
      <c r="F51" s="374" t="s">
        <v>90</v>
      </c>
      <c r="G51" s="374" t="s">
        <v>90</v>
      </c>
      <c r="H51" s="374" t="s">
        <v>90</v>
      </c>
      <c r="I51" s="374" t="s">
        <v>90</v>
      </c>
      <c r="J51" s="374" t="s">
        <v>90</v>
      </c>
      <c r="K51" s="374" t="s">
        <v>90</v>
      </c>
      <c r="L51" s="374" t="s">
        <v>90</v>
      </c>
      <c r="M51" s="374" t="s">
        <v>90</v>
      </c>
      <c r="N51" s="374" t="s">
        <v>90</v>
      </c>
      <c r="O51" s="374" t="s">
        <v>90</v>
      </c>
      <c r="P51" s="374" t="s">
        <v>90</v>
      </c>
      <c r="Q51" s="374" t="s">
        <v>90</v>
      </c>
      <c r="R51" s="757">
        <v>200</v>
      </c>
      <c r="S51" s="757">
        <v>146</v>
      </c>
      <c r="T51" s="374">
        <v>101</v>
      </c>
      <c r="U51" s="374">
        <v>105</v>
      </c>
      <c r="V51" s="374">
        <v>64</v>
      </c>
      <c r="W51" s="374">
        <v>109</v>
      </c>
      <c r="X51" s="1064">
        <v>195</v>
      </c>
      <c r="Y51" s="804">
        <v>174</v>
      </c>
    </row>
    <row r="52" spans="1:25" s="65" customFormat="1" ht="18" customHeight="1">
      <c r="A52" s="756" t="s">
        <v>632</v>
      </c>
      <c r="B52" s="374" t="s">
        <v>90</v>
      </c>
      <c r="C52" s="374" t="s">
        <v>90</v>
      </c>
      <c r="D52" s="374" t="s">
        <v>90</v>
      </c>
      <c r="E52" s="374" t="s">
        <v>90</v>
      </c>
      <c r="F52" s="374" t="s">
        <v>90</v>
      </c>
      <c r="G52" s="374" t="s">
        <v>90</v>
      </c>
      <c r="H52" s="374" t="s">
        <v>90</v>
      </c>
      <c r="I52" s="374" t="s">
        <v>90</v>
      </c>
      <c r="J52" s="374" t="s">
        <v>90</v>
      </c>
      <c r="K52" s="374" t="s">
        <v>90</v>
      </c>
      <c r="L52" s="374" t="s">
        <v>90</v>
      </c>
      <c r="M52" s="374" t="s">
        <v>90</v>
      </c>
      <c r="N52" s="374" t="s">
        <v>90</v>
      </c>
      <c r="O52" s="374" t="s">
        <v>90</v>
      </c>
      <c r="P52" s="374" t="s">
        <v>90</v>
      </c>
      <c r="Q52" s="374" t="s">
        <v>90</v>
      </c>
      <c r="R52" s="377">
        <v>316</v>
      </c>
      <c r="S52" s="377">
        <v>1057</v>
      </c>
      <c r="T52" s="378">
        <f>228+755</f>
        <v>983</v>
      </c>
      <c r="U52" s="378">
        <f>243+907</f>
        <v>1150</v>
      </c>
      <c r="V52" s="378">
        <f>226+655</f>
        <v>881</v>
      </c>
      <c r="W52" s="378">
        <v>1124</v>
      </c>
      <c r="X52" s="378">
        <v>2066</v>
      </c>
      <c r="Y52" s="828">
        <v>1396</v>
      </c>
    </row>
    <row r="53" spans="1:25" s="65" customFormat="1" ht="18" customHeight="1">
      <c r="A53" s="756" t="s">
        <v>656</v>
      </c>
      <c r="B53" s="374" t="s">
        <v>90</v>
      </c>
      <c r="C53" s="374" t="s">
        <v>90</v>
      </c>
      <c r="D53" s="374" t="s">
        <v>90</v>
      </c>
      <c r="E53" s="374" t="s">
        <v>90</v>
      </c>
      <c r="F53" s="374" t="s">
        <v>90</v>
      </c>
      <c r="G53" s="374" t="s">
        <v>90</v>
      </c>
      <c r="H53" s="374" t="s">
        <v>90</v>
      </c>
      <c r="I53" s="374" t="s">
        <v>90</v>
      </c>
      <c r="J53" s="374" t="s">
        <v>90</v>
      </c>
      <c r="K53" s="374" t="s">
        <v>90</v>
      </c>
      <c r="L53" s="374" t="s">
        <v>90</v>
      </c>
      <c r="M53" s="374" t="s">
        <v>90</v>
      </c>
      <c r="N53" s="374" t="s">
        <v>90</v>
      </c>
      <c r="O53" s="374" t="s">
        <v>90</v>
      </c>
      <c r="P53" s="374" t="s">
        <v>90</v>
      </c>
      <c r="Q53" s="374" t="s">
        <v>90</v>
      </c>
      <c r="R53" s="374" t="s">
        <v>90</v>
      </c>
      <c r="S53" s="374">
        <v>286</v>
      </c>
      <c r="T53" s="378">
        <v>2082</v>
      </c>
      <c r="U53" s="378">
        <v>1545</v>
      </c>
      <c r="V53" s="378">
        <v>1202</v>
      </c>
      <c r="W53" s="378">
        <v>6458</v>
      </c>
      <c r="X53" s="378">
        <v>8351</v>
      </c>
      <c r="Y53" s="828">
        <v>9092</v>
      </c>
    </row>
    <row r="54" spans="1:25" s="65" customFormat="1" ht="18" customHeight="1">
      <c r="A54" s="756" t="s">
        <v>657</v>
      </c>
      <c r="B54" s="374" t="s">
        <v>90</v>
      </c>
      <c r="C54" s="374" t="s">
        <v>90</v>
      </c>
      <c r="D54" s="374" t="s">
        <v>90</v>
      </c>
      <c r="E54" s="374" t="s">
        <v>90</v>
      </c>
      <c r="F54" s="374" t="s">
        <v>90</v>
      </c>
      <c r="G54" s="374" t="s">
        <v>90</v>
      </c>
      <c r="H54" s="374" t="s">
        <v>90</v>
      </c>
      <c r="I54" s="374" t="s">
        <v>90</v>
      </c>
      <c r="J54" s="374" t="s">
        <v>90</v>
      </c>
      <c r="K54" s="374" t="s">
        <v>90</v>
      </c>
      <c r="L54" s="374" t="s">
        <v>90</v>
      </c>
      <c r="M54" s="374" t="s">
        <v>90</v>
      </c>
      <c r="N54" s="374" t="s">
        <v>90</v>
      </c>
      <c r="O54" s="374" t="s">
        <v>90</v>
      </c>
      <c r="P54" s="374" t="s">
        <v>90</v>
      </c>
      <c r="Q54" s="374" t="s">
        <v>90</v>
      </c>
      <c r="R54" s="374" t="s">
        <v>90</v>
      </c>
      <c r="S54" s="374" t="s">
        <v>90</v>
      </c>
      <c r="T54" s="378">
        <v>20</v>
      </c>
      <c r="U54" s="487" t="s">
        <v>90</v>
      </c>
      <c r="V54" s="487" t="s">
        <v>90</v>
      </c>
      <c r="W54" s="487" t="s">
        <v>90</v>
      </c>
      <c r="X54" s="487" t="s">
        <v>90</v>
      </c>
      <c r="Y54" s="829" t="s">
        <v>90</v>
      </c>
    </row>
    <row r="55" spans="1:25" s="65" customFormat="1" ht="18" customHeight="1">
      <c r="A55" s="756" t="s">
        <v>658</v>
      </c>
      <c r="B55" s="374" t="s">
        <v>90</v>
      </c>
      <c r="C55" s="374" t="s">
        <v>90</v>
      </c>
      <c r="D55" s="374" t="s">
        <v>90</v>
      </c>
      <c r="E55" s="374" t="s">
        <v>90</v>
      </c>
      <c r="F55" s="374" t="s">
        <v>90</v>
      </c>
      <c r="G55" s="374" t="s">
        <v>90</v>
      </c>
      <c r="H55" s="374" t="s">
        <v>90</v>
      </c>
      <c r="I55" s="374" t="s">
        <v>90</v>
      </c>
      <c r="J55" s="374" t="s">
        <v>90</v>
      </c>
      <c r="K55" s="374" t="s">
        <v>90</v>
      </c>
      <c r="L55" s="374" t="s">
        <v>90</v>
      </c>
      <c r="M55" s="374" t="s">
        <v>90</v>
      </c>
      <c r="N55" s="374" t="s">
        <v>90</v>
      </c>
      <c r="O55" s="374" t="s">
        <v>90</v>
      </c>
      <c r="P55" s="374" t="s">
        <v>90</v>
      </c>
      <c r="Q55" s="374" t="s">
        <v>90</v>
      </c>
      <c r="R55" s="374" t="s">
        <v>90</v>
      </c>
      <c r="S55" s="374" t="s">
        <v>90</v>
      </c>
      <c r="T55" s="378">
        <v>13</v>
      </c>
      <c r="U55" s="487" t="s">
        <v>90</v>
      </c>
      <c r="V55" s="487" t="s">
        <v>90</v>
      </c>
      <c r="W55" s="487" t="s">
        <v>90</v>
      </c>
      <c r="X55" s="487" t="s">
        <v>90</v>
      </c>
      <c r="Y55" s="829" t="s">
        <v>90</v>
      </c>
    </row>
    <row r="56" spans="1:25" s="65" customFormat="1" ht="18" customHeight="1">
      <c r="A56" s="756" t="s">
        <v>633</v>
      </c>
      <c r="B56" s="519" t="s">
        <v>90</v>
      </c>
      <c r="C56" s="519" t="s">
        <v>90</v>
      </c>
      <c r="D56" s="519" t="s">
        <v>90</v>
      </c>
      <c r="E56" s="519" t="s">
        <v>90</v>
      </c>
      <c r="F56" s="519" t="s">
        <v>90</v>
      </c>
      <c r="G56" s="519" t="s">
        <v>90</v>
      </c>
      <c r="H56" s="519" t="s">
        <v>90</v>
      </c>
      <c r="I56" s="519" t="s">
        <v>90</v>
      </c>
      <c r="J56" s="519" t="s">
        <v>90</v>
      </c>
      <c r="K56" s="519" t="s">
        <v>90</v>
      </c>
      <c r="L56" s="519" t="s">
        <v>90</v>
      </c>
      <c r="M56" s="519" t="s">
        <v>90</v>
      </c>
      <c r="N56" s="519" t="s">
        <v>90</v>
      </c>
      <c r="O56" s="519" t="s">
        <v>90</v>
      </c>
      <c r="P56" s="519" t="s">
        <v>90</v>
      </c>
      <c r="Q56" s="519" t="s">
        <v>90</v>
      </c>
      <c r="R56" s="377">
        <v>19</v>
      </c>
      <c r="S56" s="459" t="s">
        <v>90</v>
      </c>
      <c r="T56" s="487" t="s">
        <v>90</v>
      </c>
      <c r="U56" s="487" t="s">
        <v>90</v>
      </c>
      <c r="V56" s="487" t="s">
        <v>90</v>
      </c>
      <c r="W56" s="487" t="s">
        <v>90</v>
      </c>
      <c r="X56" s="487" t="s">
        <v>90</v>
      </c>
      <c r="Y56" s="829" t="s">
        <v>90</v>
      </c>
    </row>
    <row r="57" spans="1:25" s="65" customFormat="1" ht="18" customHeight="1">
      <c r="A57" s="756" t="s">
        <v>634</v>
      </c>
      <c r="B57" s="519" t="s">
        <v>90</v>
      </c>
      <c r="C57" s="519" t="s">
        <v>90</v>
      </c>
      <c r="D57" s="519" t="s">
        <v>90</v>
      </c>
      <c r="E57" s="519" t="s">
        <v>90</v>
      </c>
      <c r="F57" s="519" t="s">
        <v>90</v>
      </c>
      <c r="G57" s="519" t="s">
        <v>90</v>
      </c>
      <c r="H57" s="519" t="s">
        <v>90</v>
      </c>
      <c r="I57" s="519" t="s">
        <v>90</v>
      </c>
      <c r="J57" s="519" t="s">
        <v>90</v>
      </c>
      <c r="K57" s="519" t="s">
        <v>90</v>
      </c>
      <c r="L57" s="519" t="s">
        <v>90</v>
      </c>
      <c r="M57" s="519" t="s">
        <v>90</v>
      </c>
      <c r="N57" s="519" t="s">
        <v>90</v>
      </c>
      <c r="O57" s="519" t="s">
        <v>90</v>
      </c>
      <c r="P57" s="519" t="s">
        <v>90</v>
      </c>
      <c r="Q57" s="519" t="s">
        <v>90</v>
      </c>
      <c r="R57" s="377">
        <v>325</v>
      </c>
      <c r="S57" s="459" t="s">
        <v>90</v>
      </c>
      <c r="T57" s="487" t="s">
        <v>90</v>
      </c>
      <c r="U57" s="487" t="s">
        <v>90</v>
      </c>
      <c r="V57" s="487" t="s">
        <v>90</v>
      </c>
      <c r="W57" s="487" t="s">
        <v>90</v>
      </c>
      <c r="X57" s="487" t="s">
        <v>90</v>
      </c>
      <c r="Y57" s="829" t="s">
        <v>90</v>
      </c>
    </row>
    <row r="58" spans="1:25" s="65" customFormat="1" ht="18" customHeight="1">
      <c r="A58" s="756" t="s">
        <v>635</v>
      </c>
      <c r="B58" s="519" t="s">
        <v>90</v>
      </c>
      <c r="C58" s="519" t="s">
        <v>90</v>
      </c>
      <c r="D58" s="519" t="s">
        <v>90</v>
      </c>
      <c r="E58" s="519" t="s">
        <v>90</v>
      </c>
      <c r="F58" s="519" t="s">
        <v>90</v>
      </c>
      <c r="G58" s="519" t="s">
        <v>90</v>
      </c>
      <c r="H58" s="519" t="s">
        <v>90</v>
      </c>
      <c r="I58" s="519" t="s">
        <v>90</v>
      </c>
      <c r="J58" s="519" t="s">
        <v>90</v>
      </c>
      <c r="K58" s="519" t="s">
        <v>90</v>
      </c>
      <c r="L58" s="519" t="s">
        <v>90</v>
      </c>
      <c r="M58" s="519" t="s">
        <v>90</v>
      </c>
      <c r="N58" s="519" t="s">
        <v>90</v>
      </c>
      <c r="O58" s="519" t="s">
        <v>90</v>
      </c>
      <c r="P58" s="519" t="s">
        <v>90</v>
      </c>
      <c r="Q58" s="519" t="s">
        <v>90</v>
      </c>
      <c r="R58" s="377">
        <v>120</v>
      </c>
      <c r="S58" s="459" t="s">
        <v>90</v>
      </c>
      <c r="T58" s="487" t="s">
        <v>90</v>
      </c>
      <c r="U58" s="487" t="s">
        <v>90</v>
      </c>
      <c r="V58" s="487" t="s">
        <v>90</v>
      </c>
      <c r="W58" s="487" t="s">
        <v>90</v>
      </c>
      <c r="X58" s="487" t="s">
        <v>90</v>
      </c>
      <c r="Y58" s="829" t="s">
        <v>90</v>
      </c>
    </row>
    <row r="59" spans="1:25" s="65" customFormat="1" ht="18" customHeight="1">
      <c r="A59" s="756" t="s">
        <v>647</v>
      </c>
      <c r="B59" s="519" t="s">
        <v>90</v>
      </c>
      <c r="C59" s="519" t="s">
        <v>90</v>
      </c>
      <c r="D59" s="519" t="s">
        <v>90</v>
      </c>
      <c r="E59" s="519" t="s">
        <v>90</v>
      </c>
      <c r="F59" s="519" t="s">
        <v>90</v>
      </c>
      <c r="G59" s="519" t="s">
        <v>90</v>
      </c>
      <c r="H59" s="519" t="s">
        <v>90</v>
      </c>
      <c r="I59" s="519" t="s">
        <v>90</v>
      </c>
      <c r="J59" s="519" t="s">
        <v>90</v>
      </c>
      <c r="K59" s="519" t="s">
        <v>90</v>
      </c>
      <c r="L59" s="519" t="s">
        <v>90</v>
      </c>
      <c r="M59" s="519" t="s">
        <v>90</v>
      </c>
      <c r="N59" s="519" t="s">
        <v>90</v>
      </c>
      <c r="O59" s="519" t="s">
        <v>90</v>
      </c>
      <c r="P59" s="519" t="s">
        <v>90</v>
      </c>
      <c r="Q59" s="519" t="s">
        <v>90</v>
      </c>
      <c r="R59" s="377">
        <v>64</v>
      </c>
      <c r="S59" s="459" t="s">
        <v>90</v>
      </c>
      <c r="T59" s="487" t="s">
        <v>90</v>
      </c>
      <c r="U59" s="487" t="s">
        <v>90</v>
      </c>
      <c r="V59" s="487" t="s">
        <v>90</v>
      </c>
      <c r="W59" s="487" t="s">
        <v>90</v>
      </c>
      <c r="X59" s="487" t="s">
        <v>90</v>
      </c>
      <c r="Y59" s="829" t="s">
        <v>90</v>
      </c>
    </row>
    <row r="60" spans="1:25" s="65" customFormat="1" ht="18" customHeight="1">
      <c r="A60" s="760" t="s">
        <v>636</v>
      </c>
      <c r="B60" s="519" t="s">
        <v>90</v>
      </c>
      <c r="C60" s="519" t="s">
        <v>90</v>
      </c>
      <c r="D60" s="519" t="s">
        <v>90</v>
      </c>
      <c r="E60" s="519" t="s">
        <v>90</v>
      </c>
      <c r="F60" s="519" t="s">
        <v>90</v>
      </c>
      <c r="G60" s="519" t="s">
        <v>90</v>
      </c>
      <c r="H60" s="519" t="s">
        <v>90</v>
      </c>
      <c r="I60" s="519" t="s">
        <v>90</v>
      </c>
      <c r="J60" s="519" t="s">
        <v>90</v>
      </c>
      <c r="K60" s="519" t="s">
        <v>90</v>
      </c>
      <c r="L60" s="519" t="s">
        <v>90</v>
      </c>
      <c r="M60" s="519" t="s">
        <v>90</v>
      </c>
      <c r="N60" s="519" t="s">
        <v>90</v>
      </c>
      <c r="O60" s="519" t="s">
        <v>90</v>
      </c>
      <c r="P60" s="519" t="s">
        <v>90</v>
      </c>
      <c r="Q60" s="519" t="s">
        <v>90</v>
      </c>
      <c r="R60" s="757">
        <v>10</v>
      </c>
      <c r="S60" s="459" t="s">
        <v>90</v>
      </c>
      <c r="T60" s="487" t="s">
        <v>90</v>
      </c>
      <c r="U60" s="487" t="s">
        <v>90</v>
      </c>
      <c r="V60" s="487" t="s">
        <v>90</v>
      </c>
      <c r="W60" s="487" t="s">
        <v>90</v>
      </c>
      <c r="X60" s="487" t="s">
        <v>90</v>
      </c>
      <c r="Y60" s="829" t="s">
        <v>90</v>
      </c>
    </row>
    <row r="61" spans="1:25" s="65" customFormat="1" ht="18" customHeight="1">
      <c r="A61" s="760" t="s">
        <v>707</v>
      </c>
      <c r="B61" s="519"/>
      <c r="C61" s="519"/>
      <c r="D61" s="519"/>
      <c r="E61" s="519"/>
      <c r="F61" s="519"/>
      <c r="G61" s="519"/>
      <c r="H61" s="519"/>
      <c r="I61" s="519"/>
      <c r="J61" s="519"/>
      <c r="K61" s="519"/>
      <c r="L61" s="519"/>
      <c r="M61" s="519" t="s">
        <v>90</v>
      </c>
      <c r="N61" s="519" t="s">
        <v>90</v>
      </c>
      <c r="O61" s="519" t="s">
        <v>90</v>
      </c>
      <c r="P61" s="519" t="s">
        <v>90</v>
      </c>
      <c r="Q61" s="519" t="s">
        <v>90</v>
      </c>
      <c r="R61" s="519" t="s">
        <v>90</v>
      </c>
      <c r="S61" s="519" t="s">
        <v>90</v>
      </c>
      <c r="T61" s="519" t="s">
        <v>90</v>
      </c>
      <c r="U61" s="487">
        <v>75</v>
      </c>
      <c r="V61" s="487">
        <v>42</v>
      </c>
      <c r="W61" s="487">
        <v>42</v>
      </c>
      <c r="X61" s="487">
        <v>81</v>
      </c>
      <c r="Y61" s="829">
        <v>48</v>
      </c>
    </row>
    <row r="62" spans="1:25" s="65" customFormat="1" ht="18" customHeight="1">
      <c r="A62" s="760" t="s">
        <v>708</v>
      </c>
      <c r="B62" s="519"/>
      <c r="C62" s="519"/>
      <c r="D62" s="519"/>
      <c r="E62" s="519"/>
      <c r="F62" s="519"/>
      <c r="G62" s="519"/>
      <c r="H62" s="519"/>
      <c r="I62" s="519"/>
      <c r="J62" s="519"/>
      <c r="K62" s="519"/>
      <c r="L62" s="519"/>
      <c r="M62" s="519" t="s">
        <v>90</v>
      </c>
      <c r="N62" s="519" t="s">
        <v>90</v>
      </c>
      <c r="O62" s="519" t="s">
        <v>90</v>
      </c>
      <c r="P62" s="519" t="s">
        <v>90</v>
      </c>
      <c r="Q62" s="519" t="s">
        <v>90</v>
      </c>
      <c r="R62" s="519" t="s">
        <v>90</v>
      </c>
      <c r="S62" s="519" t="s">
        <v>90</v>
      </c>
      <c r="T62" s="519" t="s">
        <v>90</v>
      </c>
      <c r="U62" s="487"/>
      <c r="V62" s="487">
        <v>15</v>
      </c>
      <c r="W62" s="487">
        <v>14</v>
      </c>
      <c r="X62" s="487"/>
      <c r="Y62" s="829"/>
    </row>
    <row r="63" spans="1:25" s="65" customFormat="1" ht="18" customHeight="1">
      <c r="A63" s="760" t="s">
        <v>637</v>
      </c>
      <c r="B63" s="519" t="s">
        <v>90</v>
      </c>
      <c r="C63" s="519" t="s">
        <v>90</v>
      </c>
      <c r="D63" s="519" t="s">
        <v>90</v>
      </c>
      <c r="E63" s="519" t="s">
        <v>90</v>
      </c>
      <c r="F63" s="519" t="s">
        <v>90</v>
      </c>
      <c r="G63" s="519" t="s">
        <v>90</v>
      </c>
      <c r="H63" s="519" t="s">
        <v>90</v>
      </c>
      <c r="I63" s="519" t="s">
        <v>90</v>
      </c>
      <c r="J63" s="519" t="s">
        <v>90</v>
      </c>
      <c r="K63" s="519" t="s">
        <v>90</v>
      </c>
      <c r="L63" s="519" t="s">
        <v>90</v>
      </c>
      <c r="M63" s="519" t="s">
        <v>90</v>
      </c>
      <c r="N63" s="519" t="s">
        <v>90</v>
      </c>
      <c r="O63" s="519" t="s">
        <v>90</v>
      </c>
      <c r="P63" s="519" t="s">
        <v>90</v>
      </c>
      <c r="Q63" s="519" t="s">
        <v>90</v>
      </c>
      <c r="R63" s="377">
        <v>313</v>
      </c>
      <c r="S63" s="377">
        <v>240</v>
      </c>
      <c r="T63" s="378">
        <v>255</v>
      </c>
      <c r="U63" s="378">
        <f>132+9</f>
        <v>141</v>
      </c>
      <c r="V63" s="487">
        <v>4</v>
      </c>
      <c r="W63" s="487"/>
      <c r="X63" s="487">
        <v>4</v>
      </c>
      <c r="Y63" s="829" t="s">
        <v>90</v>
      </c>
    </row>
    <row r="64" spans="1:25" s="65" customFormat="1" ht="18" customHeight="1">
      <c r="A64" s="760" t="s">
        <v>789</v>
      </c>
      <c r="B64" s="519"/>
      <c r="C64" s="519"/>
      <c r="D64" s="519"/>
      <c r="E64" s="519"/>
      <c r="F64" s="519"/>
      <c r="G64" s="519"/>
      <c r="H64" s="519"/>
      <c r="I64" s="519"/>
      <c r="J64" s="519"/>
      <c r="K64" s="519"/>
      <c r="L64" s="519"/>
      <c r="M64" s="519"/>
      <c r="N64" s="519"/>
      <c r="O64" s="519"/>
      <c r="P64" s="519"/>
      <c r="Q64" s="519"/>
      <c r="R64" s="377"/>
      <c r="S64" s="377"/>
      <c r="T64" s="378"/>
      <c r="U64" s="378"/>
      <c r="V64" s="487"/>
      <c r="W64" s="487"/>
      <c r="X64" s="487">
        <v>213</v>
      </c>
      <c r="Y64" s="829">
        <v>339</v>
      </c>
    </row>
    <row r="65" spans="1:25" s="65" customFormat="1" ht="18" customHeight="1">
      <c r="A65" s="761" t="s">
        <v>638</v>
      </c>
      <c r="B65" s="374" t="s">
        <v>90</v>
      </c>
      <c r="C65" s="374" t="s">
        <v>90</v>
      </c>
      <c r="D65" s="374" t="s">
        <v>90</v>
      </c>
      <c r="E65" s="374" t="s">
        <v>90</v>
      </c>
      <c r="F65" s="374">
        <v>76</v>
      </c>
      <c r="G65" s="374">
        <v>209</v>
      </c>
      <c r="H65" s="374">
        <v>197</v>
      </c>
      <c r="I65" s="374" t="s">
        <v>90</v>
      </c>
      <c r="J65" s="374" t="s">
        <v>90</v>
      </c>
      <c r="K65" s="374" t="s">
        <v>90</v>
      </c>
      <c r="L65" s="374" t="s">
        <v>90</v>
      </c>
      <c r="M65" s="374" t="s">
        <v>90</v>
      </c>
      <c r="N65" s="374" t="s">
        <v>90</v>
      </c>
      <c r="O65" s="374" t="s">
        <v>90</v>
      </c>
      <c r="P65" s="374" t="s">
        <v>90</v>
      </c>
      <c r="Q65" s="374" t="s">
        <v>90</v>
      </c>
      <c r="R65" s="757" t="s">
        <v>90</v>
      </c>
      <c r="S65" s="757" t="s">
        <v>90</v>
      </c>
      <c r="T65" s="374" t="s">
        <v>90</v>
      </c>
      <c r="U65" s="374" t="s">
        <v>90</v>
      </c>
      <c r="V65" s="374" t="s">
        <v>90</v>
      </c>
      <c r="W65" s="374" t="s">
        <v>90</v>
      </c>
      <c r="X65" s="1064"/>
      <c r="Y65" s="830" t="s">
        <v>90</v>
      </c>
    </row>
    <row r="66" spans="1:25" s="65" customFormat="1" ht="18" customHeight="1">
      <c r="A66" s="756" t="s">
        <v>639</v>
      </c>
      <c r="B66" s="374" t="s">
        <v>90</v>
      </c>
      <c r="C66" s="374" t="s">
        <v>90</v>
      </c>
      <c r="D66" s="374" t="s">
        <v>90</v>
      </c>
      <c r="E66" s="374" t="s">
        <v>90</v>
      </c>
      <c r="F66" s="374">
        <v>4</v>
      </c>
      <c r="G66" s="374">
        <v>27</v>
      </c>
      <c r="H66" s="374">
        <v>35</v>
      </c>
      <c r="I66" s="374">
        <v>44</v>
      </c>
      <c r="J66" s="374">
        <v>28</v>
      </c>
      <c r="K66" s="374">
        <v>25</v>
      </c>
      <c r="L66" s="374">
        <v>27</v>
      </c>
      <c r="M66" s="374">
        <v>35</v>
      </c>
      <c r="N66" s="374">
        <v>39</v>
      </c>
      <c r="O66" s="374">
        <v>26</v>
      </c>
      <c r="P66" s="374">
        <v>51</v>
      </c>
      <c r="Q66" s="374">
        <v>52</v>
      </c>
      <c r="R66" s="757">
        <v>53</v>
      </c>
      <c r="S66" s="757">
        <v>51</v>
      </c>
      <c r="T66" s="374">
        <v>32</v>
      </c>
      <c r="U66" s="487" t="s">
        <v>90</v>
      </c>
      <c r="V66" s="487" t="s">
        <v>90</v>
      </c>
      <c r="W66" s="487" t="s">
        <v>90</v>
      </c>
      <c r="X66" s="487"/>
      <c r="Y66" s="829" t="s">
        <v>90</v>
      </c>
    </row>
    <row r="67" spans="1:25" s="65" customFormat="1" ht="18" customHeight="1">
      <c r="A67" s="756" t="s">
        <v>640</v>
      </c>
      <c r="B67" s="374" t="s">
        <v>90</v>
      </c>
      <c r="C67" s="374" t="s">
        <v>90</v>
      </c>
      <c r="D67" s="374" t="s">
        <v>90</v>
      </c>
      <c r="E67" s="374" t="s">
        <v>90</v>
      </c>
      <c r="F67" s="374" t="s">
        <v>90</v>
      </c>
      <c r="G67" s="374" t="s">
        <v>90</v>
      </c>
      <c r="H67" s="374" t="s">
        <v>90</v>
      </c>
      <c r="I67" s="374" t="s">
        <v>90</v>
      </c>
      <c r="J67" s="374">
        <v>396</v>
      </c>
      <c r="K67" s="374">
        <v>732</v>
      </c>
      <c r="L67" s="374">
        <v>450</v>
      </c>
      <c r="M67" s="374">
        <v>453</v>
      </c>
      <c r="N67" s="374">
        <v>759</v>
      </c>
      <c r="O67" s="374" t="s">
        <v>641</v>
      </c>
      <c r="P67" s="374">
        <v>611</v>
      </c>
      <c r="Q67" s="374">
        <v>1292</v>
      </c>
      <c r="R67" s="757">
        <v>1393</v>
      </c>
      <c r="S67" s="757">
        <v>1666</v>
      </c>
      <c r="T67" s="374">
        <v>1579</v>
      </c>
      <c r="U67" s="374">
        <v>3632</v>
      </c>
      <c r="V67" s="374">
        <v>1146</v>
      </c>
      <c r="W67" s="374">
        <v>617</v>
      </c>
      <c r="X67" s="1064">
        <v>486</v>
      </c>
      <c r="Y67" s="804">
        <v>935</v>
      </c>
    </row>
    <row r="68" spans="1:25" s="65" customFormat="1" ht="18" customHeight="1">
      <c r="A68" s="756" t="s">
        <v>642</v>
      </c>
      <c r="B68" s="374" t="s">
        <v>90</v>
      </c>
      <c r="C68" s="374" t="s">
        <v>90</v>
      </c>
      <c r="D68" s="374" t="s">
        <v>90</v>
      </c>
      <c r="E68" s="374" t="s">
        <v>90</v>
      </c>
      <c r="F68" s="374" t="s">
        <v>90</v>
      </c>
      <c r="G68" s="374" t="s">
        <v>90</v>
      </c>
      <c r="H68" s="374" t="s">
        <v>90</v>
      </c>
      <c r="I68" s="374" t="s">
        <v>90</v>
      </c>
      <c r="J68" s="374" t="s">
        <v>90</v>
      </c>
      <c r="K68" s="374" t="s">
        <v>90</v>
      </c>
      <c r="L68" s="374" t="s">
        <v>90</v>
      </c>
      <c r="M68" s="374" t="s">
        <v>90</v>
      </c>
      <c r="N68" s="374">
        <v>2476</v>
      </c>
      <c r="O68" s="374">
        <v>3626</v>
      </c>
      <c r="P68" s="374">
        <v>3206</v>
      </c>
      <c r="Q68" s="374">
        <v>3147</v>
      </c>
      <c r="R68" s="757">
        <v>2964</v>
      </c>
      <c r="S68" s="757">
        <v>3929</v>
      </c>
      <c r="T68" s="374">
        <v>3083</v>
      </c>
      <c r="U68" s="374">
        <v>2870</v>
      </c>
      <c r="V68" s="374">
        <v>482</v>
      </c>
      <c r="W68" s="374">
        <v>387</v>
      </c>
      <c r="X68" s="1064">
        <v>1385</v>
      </c>
      <c r="Y68" s="804">
        <v>1468</v>
      </c>
    </row>
    <row r="69" spans="1:25" s="65" customFormat="1" ht="18" customHeight="1">
      <c r="A69" s="756" t="s">
        <v>643</v>
      </c>
      <c r="B69" s="374" t="s">
        <v>90</v>
      </c>
      <c r="C69" s="374" t="s">
        <v>90</v>
      </c>
      <c r="D69" s="374" t="s">
        <v>90</v>
      </c>
      <c r="E69" s="374" t="s">
        <v>90</v>
      </c>
      <c r="F69" s="374" t="s">
        <v>90</v>
      </c>
      <c r="G69" s="374" t="s">
        <v>90</v>
      </c>
      <c r="H69" s="374" t="s">
        <v>90</v>
      </c>
      <c r="I69" s="374" t="s">
        <v>90</v>
      </c>
      <c r="J69" s="374" t="s">
        <v>90</v>
      </c>
      <c r="K69" s="374" t="s">
        <v>90</v>
      </c>
      <c r="L69" s="374" t="s">
        <v>90</v>
      </c>
      <c r="M69" s="374" t="s">
        <v>90</v>
      </c>
      <c r="N69" s="374">
        <v>9106</v>
      </c>
      <c r="O69" s="374">
        <v>9106</v>
      </c>
      <c r="P69" s="374">
        <v>9995</v>
      </c>
      <c r="Q69" s="374">
        <v>10380</v>
      </c>
      <c r="R69" s="757">
        <v>10701</v>
      </c>
      <c r="S69" s="757">
        <v>11093</v>
      </c>
      <c r="T69" s="374">
        <v>11366</v>
      </c>
      <c r="U69" s="374">
        <v>11952</v>
      </c>
      <c r="V69" s="374">
        <v>11073</v>
      </c>
      <c r="W69" s="374">
        <v>13541</v>
      </c>
      <c r="X69" s="1064">
        <v>10167</v>
      </c>
      <c r="Y69" s="804"/>
    </row>
    <row r="70" spans="1:25" s="65" customFormat="1" ht="18" customHeight="1">
      <c r="A70" s="756" t="s">
        <v>644</v>
      </c>
      <c r="B70" s="374">
        <v>255</v>
      </c>
      <c r="C70" s="374">
        <v>376</v>
      </c>
      <c r="D70" s="374">
        <v>378</v>
      </c>
      <c r="E70" s="374">
        <v>334</v>
      </c>
      <c r="F70" s="374">
        <v>491</v>
      </c>
      <c r="G70" s="374">
        <v>593</v>
      </c>
      <c r="H70" s="374">
        <v>723</v>
      </c>
      <c r="I70" s="374">
        <v>823</v>
      </c>
      <c r="J70" s="374">
        <v>890</v>
      </c>
      <c r="K70" s="374">
        <v>885</v>
      </c>
      <c r="L70" s="374">
        <v>1028</v>
      </c>
      <c r="M70" s="374">
        <v>1251</v>
      </c>
      <c r="N70" s="374">
        <v>1248</v>
      </c>
      <c r="O70" s="374">
        <v>1220</v>
      </c>
      <c r="P70" s="374">
        <v>1065</v>
      </c>
      <c r="Q70" s="374">
        <v>956</v>
      </c>
      <c r="R70" s="757">
        <v>979</v>
      </c>
      <c r="S70" s="757">
        <v>855</v>
      </c>
      <c r="T70" s="374">
        <v>803</v>
      </c>
      <c r="U70" s="374">
        <v>732</v>
      </c>
      <c r="V70" s="374">
        <v>775</v>
      </c>
      <c r="W70" s="374">
        <v>637</v>
      </c>
      <c r="X70" s="1064">
        <v>410</v>
      </c>
      <c r="Y70" s="804">
        <v>249</v>
      </c>
    </row>
    <row r="71" spans="1:25" s="65" customFormat="1" ht="18" customHeight="1">
      <c r="A71" s="756" t="s">
        <v>645</v>
      </c>
      <c r="B71" s="374">
        <v>367</v>
      </c>
      <c r="C71" s="374">
        <v>360</v>
      </c>
      <c r="D71" s="374">
        <v>277</v>
      </c>
      <c r="E71" s="374">
        <v>253</v>
      </c>
      <c r="F71" s="374">
        <v>239</v>
      </c>
      <c r="G71" s="374">
        <v>266</v>
      </c>
      <c r="H71" s="374">
        <v>285</v>
      </c>
      <c r="I71" s="374">
        <v>284</v>
      </c>
      <c r="J71" s="374">
        <v>234</v>
      </c>
      <c r="K71" s="374">
        <v>202</v>
      </c>
      <c r="L71" s="374">
        <v>137</v>
      </c>
      <c r="M71" s="374">
        <v>134</v>
      </c>
      <c r="N71" s="374">
        <v>148</v>
      </c>
      <c r="O71" s="374">
        <v>151</v>
      </c>
      <c r="P71" s="374">
        <v>84</v>
      </c>
      <c r="Q71" s="374">
        <v>122</v>
      </c>
      <c r="R71" s="757">
        <v>132</v>
      </c>
      <c r="S71" s="757">
        <v>126</v>
      </c>
      <c r="T71" s="374">
        <v>62</v>
      </c>
      <c r="U71" s="374">
        <v>93</v>
      </c>
      <c r="V71" s="374">
        <v>98</v>
      </c>
      <c r="W71" s="374">
        <v>91</v>
      </c>
      <c r="X71" s="1064">
        <v>101</v>
      </c>
      <c r="Y71" s="804">
        <v>82</v>
      </c>
    </row>
    <row r="72" spans="1:25" s="65" customFormat="1" ht="18" customHeight="1">
      <c r="A72" s="756" t="s">
        <v>867</v>
      </c>
      <c r="B72" s="374" t="s">
        <v>90</v>
      </c>
      <c r="C72" s="374" t="s">
        <v>90</v>
      </c>
      <c r="D72" s="374" t="s">
        <v>90</v>
      </c>
      <c r="E72" s="374" t="s">
        <v>90</v>
      </c>
      <c r="F72" s="374" t="s">
        <v>90</v>
      </c>
      <c r="G72" s="374" t="s">
        <v>90</v>
      </c>
      <c r="H72" s="374" t="s">
        <v>90</v>
      </c>
      <c r="I72" s="374" t="s">
        <v>90</v>
      </c>
      <c r="J72" s="374" t="s">
        <v>90</v>
      </c>
      <c r="K72" s="374" t="s">
        <v>90</v>
      </c>
      <c r="L72" s="374" t="s">
        <v>90</v>
      </c>
      <c r="M72" s="374" t="s">
        <v>90</v>
      </c>
      <c r="N72" s="374" t="s">
        <v>90</v>
      </c>
      <c r="O72" s="374" t="s">
        <v>90</v>
      </c>
      <c r="P72" s="374">
        <v>68</v>
      </c>
      <c r="Q72" s="374">
        <v>85</v>
      </c>
      <c r="R72" s="757">
        <v>131</v>
      </c>
      <c r="S72" s="757">
        <v>425</v>
      </c>
      <c r="T72" s="374">
        <v>560</v>
      </c>
      <c r="U72" s="374">
        <v>745</v>
      </c>
      <c r="V72" s="374">
        <v>677</v>
      </c>
      <c r="W72" s="374">
        <v>638</v>
      </c>
      <c r="X72" s="1064">
        <v>966</v>
      </c>
      <c r="Y72" s="804"/>
    </row>
    <row r="73" spans="1:25" s="65" customFormat="1" ht="18" customHeight="1">
      <c r="A73" s="756" t="s">
        <v>868</v>
      </c>
      <c r="B73" s="374">
        <v>1558</v>
      </c>
      <c r="C73" s="374">
        <v>1222</v>
      </c>
      <c r="D73" s="374">
        <v>1601</v>
      </c>
      <c r="E73" s="374">
        <v>1366</v>
      </c>
      <c r="F73" s="374">
        <v>2046</v>
      </c>
      <c r="G73" s="374">
        <v>2387</v>
      </c>
      <c r="H73" s="374">
        <v>2351</v>
      </c>
      <c r="I73" s="374">
        <v>2789</v>
      </c>
      <c r="J73" s="374">
        <v>3122</v>
      </c>
      <c r="K73" s="374">
        <v>3680</v>
      </c>
      <c r="L73" s="374">
        <v>4076</v>
      </c>
      <c r="M73" s="374">
        <v>4218</v>
      </c>
      <c r="N73" s="374">
        <v>4625</v>
      </c>
      <c r="O73" s="374">
        <v>4810</v>
      </c>
      <c r="P73" s="374">
        <v>4873</v>
      </c>
      <c r="Q73" s="374">
        <v>4573</v>
      </c>
      <c r="R73" s="757">
        <v>4627</v>
      </c>
      <c r="S73" s="757">
        <v>7121</v>
      </c>
      <c r="T73" s="374">
        <v>7173</v>
      </c>
      <c r="U73" s="374">
        <v>6720</v>
      </c>
      <c r="V73" s="374">
        <v>6222</v>
      </c>
      <c r="W73" s="374">
        <v>6016</v>
      </c>
      <c r="X73" s="1064">
        <v>6319</v>
      </c>
      <c r="Y73" s="804"/>
    </row>
    <row r="74" spans="1:25" s="65" customFormat="1" ht="18" customHeight="1">
      <c r="A74" s="756" t="s">
        <v>869</v>
      </c>
      <c r="B74" s="374">
        <v>1592</v>
      </c>
      <c r="C74" s="374">
        <v>1211</v>
      </c>
      <c r="D74" s="374">
        <v>1248</v>
      </c>
      <c r="E74" s="374">
        <v>1186</v>
      </c>
      <c r="F74" s="374">
        <v>1507</v>
      </c>
      <c r="G74" s="374">
        <v>1790</v>
      </c>
      <c r="H74" s="374">
        <v>2150</v>
      </c>
      <c r="I74" s="374">
        <v>2380</v>
      </c>
      <c r="J74" s="374">
        <v>2717</v>
      </c>
      <c r="K74" s="374">
        <v>2891</v>
      </c>
      <c r="L74" s="374">
        <v>3154</v>
      </c>
      <c r="M74" s="374">
        <v>3426</v>
      </c>
      <c r="N74" s="374">
        <v>3582</v>
      </c>
      <c r="O74" s="374">
        <v>3886</v>
      </c>
      <c r="P74" s="374">
        <v>3956</v>
      </c>
      <c r="Q74" s="374">
        <v>3984</v>
      </c>
      <c r="R74" s="757">
        <v>3983</v>
      </c>
      <c r="S74" s="757">
        <v>5143</v>
      </c>
      <c r="T74" s="374">
        <v>4933</v>
      </c>
      <c r="U74" s="374">
        <v>4839</v>
      </c>
      <c r="V74" s="374">
        <v>4983</v>
      </c>
      <c r="W74" s="374">
        <v>4965</v>
      </c>
      <c r="X74" s="1064">
        <v>4774</v>
      </c>
      <c r="Y74" s="804"/>
    </row>
    <row r="75" spans="1:25" s="65" customFormat="1" ht="12.75">
      <c r="A75" s="762"/>
      <c r="B75" s="520"/>
      <c r="C75" s="520"/>
      <c r="D75" s="520"/>
      <c r="E75" s="520"/>
      <c r="F75" s="520"/>
      <c r="G75" s="520"/>
      <c r="H75" s="520"/>
      <c r="I75" s="520"/>
      <c r="J75" s="520"/>
      <c r="K75" s="520"/>
      <c r="L75" s="520"/>
      <c r="M75" s="520"/>
      <c r="N75" s="520"/>
      <c r="O75" s="520"/>
      <c r="P75" s="520"/>
      <c r="Q75" s="520"/>
      <c r="R75" s="763"/>
      <c r="S75" s="763"/>
      <c r="T75" s="763"/>
      <c r="U75" s="763"/>
      <c r="V75" s="763"/>
      <c r="W75" s="520"/>
      <c r="X75" s="520"/>
      <c r="Y75" s="831"/>
    </row>
    <row r="76" spans="1:27" s="616" customFormat="1" ht="14.25">
      <c r="A76" s="55" t="s">
        <v>646</v>
      </c>
      <c r="B76" s="742"/>
      <c r="C76" s="742"/>
      <c r="D76" s="742"/>
      <c r="E76" s="742"/>
      <c r="F76" s="742"/>
      <c r="G76" s="742"/>
      <c r="H76" s="742"/>
      <c r="I76" s="742"/>
      <c r="J76" s="722"/>
      <c r="K76" s="722"/>
      <c r="L76" s="722"/>
      <c r="M76" s="722"/>
      <c r="N76" s="722"/>
      <c r="O76" s="764"/>
      <c r="P76" s="764"/>
      <c r="Q76" s="764"/>
      <c r="R76" s="765"/>
      <c r="S76" s="765"/>
      <c r="T76" s="765"/>
      <c r="U76" s="765"/>
      <c r="V76" s="765"/>
      <c r="W76" s="764"/>
      <c r="X76" s="764"/>
      <c r="Y76" s="472"/>
      <c r="Z76" s="394"/>
      <c r="AA76" s="394"/>
    </row>
    <row r="77" spans="1:27" s="616" customFormat="1" ht="14.25">
      <c r="A77" s="742" t="s">
        <v>689</v>
      </c>
      <c r="B77" s="742"/>
      <c r="C77" s="742"/>
      <c r="D77" s="742"/>
      <c r="E77" s="742"/>
      <c r="F77" s="742"/>
      <c r="G77" s="742"/>
      <c r="H77" s="742"/>
      <c r="I77" s="742"/>
      <c r="J77" s="722"/>
      <c r="K77" s="722"/>
      <c r="L77" s="722"/>
      <c r="M77" s="722"/>
      <c r="N77" s="722"/>
      <c r="O77" s="764"/>
      <c r="P77" s="764"/>
      <c r="Q77" s="764"/>
      <c r="R77" s="765"/>
      <c r="S77" s="765"/>
      <c r="T77" s="765"/>
      <c r="U77" s="765"/>
      <c r="V77" s="765"/>
      <c r="W77" s="764"/>
      <c r="X77" s="764"/>
      <c r="Y77" s="472"/>
      <c r="Z77" s="394"/>
      <c r="AA77" s="394"/>
    </row>
    <row r="78" spans="1:27" s="616" customFormat="1" ht="14.25">
      <c r="A78" s="766" t="s">
        <v>870</v>
      </c>
      <c r="B78" s="766"/>
      <c r="C78" s="767"/>
      <c r="D78" s="767"/>
      <c r="E78" s="767"/>
      <c r="F78" s="767"/>
      <c r="G78" s="767"/>
      <c r="H78" s="767"/>
      <c r="I78" s="767"/>
      <c r="J78" s="722"/>
      <c r="K78" s="722"/>
      <c r="L78" s="722"/>
      <c r="M78" s="722"/>
      <c r="N78" s="722"/>
      <c r="O78" s="722"/>
      <c r="P78" s="722"/>
      <c r="Q78" s="722"/>
      <c r="R78" s="768"/>
      <c r="S78" s="768"/>
      <c r="T78" s="768"/>
      <c r="U78" s="768"/>
      <c r="V78" s="768"/>
      <c r="W78" s="722"/>
      <c r="X78" s="722"/>
      <c r="Y78" s="753"/>
      <c r="Z78" s="65"/>
      <c r="AA78" s="65"/>
    </row>
    <row r="79" spans="2:27" s="616" customFormat="1" ht="12" customHeight="1">
      <c r="B79" s="769"/>
      <c r="C79" s="769"/>
      <c r="D79" s="769"/>
      <c r="E79" s="769"/>
      <c r="F79" s="769"/>
      <c r="G79" s="769"/>
      <c r="H79" s="769"/>
      <c r="I79" s="770"/>
      <c r="J79" s="722"/>
      <c r="K79" s="722"/>
      <c r="L79" s="722"/>
      <c r="M79" s="722"/>
      <c r="N79" s="722"/>
      <c r="O79" s="722"/>
      <c r="P79" s="722"/>
      <c r="Q79" s="722"/>
      <c r="R79" s="768"/>
      <c r="S79" s="768"/>
      <c r="T79" s="768"/>
      <c r="U79" s="768"/>
      <c r="V79" s="768"/>
      <c r="W79" s="722"/>
      <c r="X79" s="722"/>
      <c r="Y79" s="753"/>
      <c r="Z79" s="65"/>
      <c r="AA79" s="65"/>
    </row>
    <row r="80" spans="1:27" s="616" customFormat="1" ht="12.75">
      <c r="A80" s="1172" t="s">
        <v>871</v>
      </c>
      <c r="B80" s="1172"/>
      <c r="C80" s="1172"/>
      <c r="D80" s="1172"/>
      <c r="E80" s="1172"/>
      <c r="F80" s="1172"/>
      <c r="G80" s="1172"/>
      <c r="H80" s="1172"/>
      <c r="I80" s="1172"/>
      <c r="J80" s="722"/>
      <c r="K80" s="722"/>
      <c r="L80" s="722"/>
      <c r="M80" s="722"/>
      <c r="N80" s="722"/>
      <c r="O80" s="722"/>
      <c r="P80" s="722"/>
      <c r="Q80" s="722"/>
      <c r="R80" s="768"/>
      <c r="S80" s="768"/>
      <c r="T80" s="768"/>
      <c r="U80" s="768"/>
      <c r="V80" s="768"/>
      <c r="W80" s="722"/>
      <c r="X80" s="722"/>
      <c r="Y80" s="753"/>
      <c r="Z80" s="65"/>
      <c r="AA80" s="65"/>
    </row>
    <row r="81" spans="1:27" s="771" customFormat="1" ht="12.75" customHeight="1">
      <c r="A81" s="1118" t="s">
        <v>780</v>
      </c>
      <c r="B81" s="1118"/>
      <c r="C81" s="1118"/>
      <c r="D81" s="1118"/>
      <c r="E81" s="1118"/>
      <c r="F81" s="1118"/>
      <c r="G81" s="1118"/>
      <c r="H81" s="1118"/>
      <c r="I81" s="1118"/>
      <c r="J81" s="1118"/>
      <c r="K81" s="1118"/>
      <c r="L81" s="1118"/>
      <c r="M81" s="1118"/>
      <c r="N81" s="1118"/>
      <c r="O81" s="1118"/>
      <c r="P81" s="1118"/>
      <c r="Q81" s="1118"/>
      <c r="R81" s="1118"/>
      <c r="S81" s="1118"/>
      <c r="T81" s="1118"/>
      <c r="U81" s="1118"/>
      <c r="V81" s="1118"/>
      <c r="W81" s="1118"/>
      <c r="X81" s="1118"/>
      <c r="Y81" s="1118"/>
      <c r="Z81" s="753"/>
      <c r="AA81" s="753"/>
    </row>
    <row r="82" spans="1:27" s="771" customFormat="1" ht="12.75" customHeight="1">
      <c r="A82" s="1118" t="s">
        <v>788</v>
      </c>
      <c r="B82" s="1118"/>
      <c r="C82" s="1118"/>
      <c r="D82" s="1118"/>
      <c r="E82" s="1118"/>
      <c r="F82" s="1118"/>
      <c r="G82" s="1118"/>
      <c r="H82" s="1118"/>
      <c r="I82" s="1118"/>
      <c r="J82" s="1118"/>
      <c r="K82" s="1118"/>
      <c r="L82" s="1118"/>
      <c r="M82" s="1118"/>
      <c r="N82" s="1118"/>
      <c r="O82" s="1118"/>
      <c r="P82" s="1118"/>
      <c r="Q82" s="1118"/>
      <c r="R82" s="1118"/>
      <c r="S82" s="1118"/>
      <c r="T82" s="1118"/>
      <c r="U82" s="1118"/>
      <c r="V82" s="1118"/>
      <c r="W82" s="1118"/>
      <c r="X82" s="1118"/>
      <c r="Y82" s="1118"/>
      <c r="Z82" s="753"/>
      <c r="AA82" s="753"/>
    </row>
    <row r="83" spans="26:27" ht="12.75" customHeight="1">
      <c r="Z83" s="65"/>
      <c r="AA83" s="65"/>
    </row>
    <row r="84" spans="26:27" ht="12.75" customHeight="1">
      <c r="Z84" s="65"/>
      <c r="AA84" s="65"/>
    </row>
    <row r="85" spans="26:27" ht="12.75" customHeight="1">
      <c r="Z85" s="65"/>
      <c r="AA85" s="65"/>
    </row>
    <row r="86" spans="26:27" ht="12.75" customHeight="1">
      <c r="Z86" s="65"/>
      <c r="AA86" s="65"/>
    </row>
    <row r="87" spans="26:27" ht="12.75" customHeight="1">
      <c r="Z87" s="65"/>
      <c r="AA87" s="65"/>
    </row>
    <row r="88" spans="26:27" ht="12.75" customHeight="1">
      <c r="Z88" s="65"/>
      <c r="AA88" s="65"/>
    </row>
    <row r="89" spans="26:27" ht="12.75" customHeight="1">
      <c r="Z89" s="65"/>
      <c r="AA89" s="65"/>
    </row>
    <row r="90" spans="26:27" ht="12.75" customHeight="1">
      <c r="Z90" s="65"/>
      <c r="AA90" s="65"/>
    </row>
    <row r="91" spans="26:27" ht="12.75" customHeight="1">
      <c r="Z91" s="516"/>
      <c r="AA91" s="516"/>
    </row>
    <row r="92" spans="26:27" ht="12.75" customHeight="1">
      <c r="Z92" s="516"/>
      <c r="AA92" s="516"/>
    </row>
    <row r="93" spans="26:27" ht="12.75" customHeight="1">
      <c r="Z93" s="65"/>
      <c r="AA93" s="65"/>
    </row>
    <row r="94" spans="26:27" ht="12.75" customHeight="1">
      <c r="Z94" s="65"/>
      <c r="AA94" s="65"/>
    </row>
    <row r="95" spans="26:27" ht="12.75" customHeight="1">
      <c r="Z95" s="65"/>
      <c r="AA95" s="65"/>
    </row>
    <row r="96" spans="26:27" ht="12.75" customHeight="1">
      <c r="Z96" s="65"/>
      <c r="AA96" s="65"/>
    </row>
    <row r="97" spans="26:27" ht="12.75" customHeight="1">
      <c r="Z97" s="65"/>
      <c r="AA97" s="65"/>
    </row>
    <row r="98" spans="26:27" ht="12.75" customHeight="1">
      <c r="Z98" s="65"/>
      <c r="AA98" s="65"/>
    </row>
    <row r="99" spans="26:27" ht="12.75" customHeight="1">
      <c r="Z99" s="65"/>
      <c r="AA99" s="65"/>
    </row>
    <row r="100" spans="26:27" ht="12.75" customHeight="1">
      <c r="Z100" s="65"/>
      <c r="AA100" s="65"/>
    </row>
    <row r="101" spans="26:27" ht="12.75" customHeight="1">
      <c r="Z101" s="65"/>
      <c r="AA101" s="65"/>
    </row>
    <row r="102" spans="26:27" ht="12.75" customHeight="1">
      <c r="Z102" s="65"/>
      <c r="AA102" s="65"/>
    </row>
    <row r="103" spans="26:27" ht="12.75" customHeight="1">
      <c r="Z103" s="65"/>
      <c r="AA103" s="65"/>
    </row>
    <row r="104" spans="26:27" ht="12.75" customHeight="1">
      <c r="Z104" s="65"/>
      <c r="AA104" s="65"/>
    </row>
    <row r="105" spans="26:27" ht="12.75" customHeight="1">
      <c r="Z105" s="65"/>
      <c r="AA105" s="65"/>
    </row>
    <row r="106" spans="26:27" ht="12.75" customHeight="1">
      <c r="Z106" s="65"/>
      <c r="AA106" s="65"/>
    </row>
    <row r="107" spans="26:27" ht="12.75" customHeight="1">
      <c r="Z107" s="65"/>
      <c r="AA107" s="65"/>
    </row>
    <row r="108" spans="26:27" ht="12.75" customHeight="1">
      <c r="Z108" s="65"/>
      <c r="AA108" s="65"/>
    </row>
    <row r="109" spans="26:27" ht="12.75" customHeight="1">
      <c r="Z109" s="65"/>
      <c r="AA109" s="65"/>
    </row>
    <row r="110" spans="26:27" ht="12.75" customHeight="1">
      <c r="Z110" s="65"/>
      <c r="AA110" s="65"/>
    </row>
    <row r="111" spans="26:27" ht="12.75" customHeight="1">
      <c r="Z111" s="65"/>
      <c r="AA111" s="65"/>
    </row>
    <row r="112" spans="26:27" ht="12.75" customHeight="1">
      <c r="Z112" s="65"/>
      <c r="AA112" s="65"/>
    </row>
    <row r="113" spans="26:27" ht="12.75" customHeight="1">
      <c r="Z113" s="65"/>
      <c r="AA113" s="65"/>
    </row>
    <row r="114" spans="26:27" ht="12.75" customHeight="1">
      <c r="Z114" s="65"/>
      <c r="AA114" s="65"/>
    </row>
    <row r="115" spans="26:27" ht="12.75" customHeight="1">
      <c r="Z115" s="65"/>
      <c r="AA115" s="65"/>
    </row>
    <row r="116" spans="26:27" ht="12.75" customHeight="1">
      <c r="Z116" s="65"/>
      <c r="AA116" s="65"/>
    </row>
    <row r="117" spans="26:27" ht="12.75" customHeight="1">
      <c r="Z117" s="65"/>
      <c r="AA117" s="65"/>
    </row>
    <row r="118" spans="26:27" ht="12.75" customHeight="1">
      <c r="Z118" s="65"/>
      <c r="AA118" s="65"/>
    </row>
    <row r="119" spans="26:27" ht="12.75" customHeight="1">
      <c r="Z119" s="65"/>
      <c r="AA119" s="65"/>
    </row>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613" ht="15" customHeight="1"/>
  </sheetData>
  <sheetProtection/>
  <mergeCells count="6">
    <mergeCell ref="A82:Y82"/>
    <mergeCell ref="A1:Y1"/>
    <mergeCell ref="A3:Y3"/>
    <mergeCell ref="A4:Y4"/>
    <mergeCell ref="A80:I80"/>
    <mergeCell ref="A81:Y81"/>
  </mergeCells>
  <dataValidations count="4">
    <dataValidation allowBlank="1" showInputMessage="1" showErrorMessage="1" promptTitle="Apoyo nutricional" prompt="2017 en BD: 7,097" sqref="R22"/>
    <dataValidation allowBlank="1" showInputMessage="1" showErrorMessage="1" promptTitle="Apoyo para transporte" prompt="2018: 15,663&#10;" sqref="S23"/>
    <dataValidation allowBlank="1" showInputMessage="1" showErrorMessage="1" promptTitle="Excel" prompt="Tenía 4,101" sqref="R15"/>
    <dataValidation allowBlank="1" showInputMessage="1" showErrorMessage="1" prompt="&#10;" sqref="R32"/>
  </dataValidations>
  <printOptions horizontalCentered="1"/>
  <pageMargins left="0.7900000000000001" right="0.7900000000000001" top="0.7900000000000001" bottom="0.7900000000000001" header="0.31" footer="0.31"/>
  <pageSetup fitToHeight="1" fitToWidth="1" horizontalDpi="600" verticalDpi="600" orientation="landscape" scale="35" r:id="rId1"/>
</worksheet>
</file>

<file path=xl/worksheets/sheet14.xml><?xml version="1.0" encoding="utf-8"?>
<worksheet xmlns="http://schemas.openxmlformats.org/spreadsheetml/2006/main" xmlns:r="http://schemas.openxmlformats.org/officeDocument/2006/relationships">
  <sheetPr>
    <tabColor rgb="FF660066"/>
    <pageSetUpPr fitToPage="1"/>
  </sheetPr>
  <dimension ref="A1:Z47"/>
  <sheetViews>
    <sheetView zoomScalePageLayoutView="0" workbookViewId="0" topLeftCell="F1">
      <selection activeCell="X10" sqref="X10"/>
    </sheetView>
  </sheetViews>
  <sheetFormatPr defaultColWidth="10.8515625" defaultRowHeight="12.75"/>
  <cols>
    <col min="1" max="1" width="27.8515625" style="754" customWidth="1"/>
    <col min="2" max="18" width="10.8515625" style="371" customWidth="1"/>
    <col min="19" max="19" width="10.8515625" style="772" customWidth="1"/>
    <col min="20" max="23" width="10.8515625" style="371" customWidth="1"/>
    <col min="24" max="24" width="10.8515625" style="824" customWidth="1"/>
    <col min="25" max="16384" width="10.8515625" style="371" customWidth="1"/>
  </cols>
  <sheetData>
    <row r="1" spans="1:24" ht="12.75" customHeight="1">
      <c r="A1" s="1171" t="s">
        <v>676</v>
      </c>
      <c r="B1" s="1171"/>
      <c r="C1" s="1171"/>
      <c r="D1" s="1171"/>
      <c r="E1" s="1171"/>
      <c r="F1" s="1171"/>
      <c r="G1" s="1171"/>
      <c r="H1" s="1171"/>
      <c r="I1" s="1171"/>
      <c r="J1" s="1171"/>
      <c r="K1" s="1171"/>
      <c r="L1" s="1171"/>
      <c r="M1" s="1171"/>
      <c r="N1" s="1171"/>
      <c r="O1" s="1171"/>
      <c r="P1" s="1171"/>
      <c r="Q1" s="1171"/>
      <c r="R1" s="1171"/>
      <c r="S1" s="1171"/>
      <c r="T1" s="1171"/>
      <c r="U1" s="1171"/>
      <c r="V1" s="1171"/>
      <c r="W1" s="1171"/>
      <c r="X1" s="1171"/>
    </row>
    <row r="2" spans="1:15" ht="12.75" customHeight="1">
      <c r="A2" s="393"/>
      <c r="B2" s="393"/>
      <c r="C2" s="393"/>
      <c r="D2" s="393"/>
      <c r="E2" s="393"/>
      <c r="F2" s="393"/>
      <c r="G2" s="393"/>
      <c r="H2" s="393"/>
      <c r="I2" s="393"/>
      <c r="J2" s="393"/>
      <c r="K2" s="393"/>
      <c r="L2" s="393"/>
      <c r="M2" s="393"/>
      <c r="N2" s="393"/>
      <c r="O2" s="393"/>
    </row>
    <row r="3" spans="1:24" s="773" customFormat="1" ht="18" customHeight="1">
      <c r="A3" s="1116" t="s">
        <v>559</v>
      </c>
      <c r="B3" s="1116"/>
      <c r="C3" s="1116"/>
      <c r="D3" s="1116"/>
      <c r="E3" s="1116"/>
      <c r="F3" s="1116"/>
      <c r="G3" s="1116"/>
      <c r="H3" s="1116"/>
      <c r="I3" s="1116"/>
      <c r="J3" s="1116"/>
      <c r="K3" s="1116"/>
      <c r="L3" s="1116"/>
      <c r="M3" s="1116"/>
      <c r="N3" s="1116"/>
      <c r="O3" s="1116"/>
      <c r="P3" s="1116"/>
      <c r="Q3" s="1116"/>
      <c r="R3" s="1116"/>
      <c r="S3" s="1116"/>
      <c r="T3" s="1116"/>
      <c r="U3" s="1116"/>
      <c r="V3" s="1116"/>
      <c r="W3" s="1116"/>
      <c r="X3" s="1116"/>
    </row>
    <row r="4" spans="1:24" s="774" customFormat="1" ht="18" customHeight="1">
      <c r="A4" s="1117" t="s">
        <v>787</v>
      </c>
      <c r="B4" s="1117"/>
      <c r="C4" s="1117"/>
      <c r="D4" s="1117"/>
      <c r="E4" s="1117"/>
      <c r="F4" s="1117"/>
      <c r="G4" s="1117"/>
      <c r="H4" s="1117"/>
      <c r="I4" s="1117"/>
      <c r="J4" s="1117"/>
      <c r="K4" s="1117"/>
      <c r="L4" s="1117"/>
      <c r="M4" s="1117"/>
      <c r="N4" s="1117"/>
      <c r="O4" s="1117"/>
      <c r="P4" s="1117"/>
      <c r="Q4" s="1117"/>
      <c r="R4" s="1117"/>
      <c r="S4" s="1117"/>
      <c r="T4" s="1117"/>
      <c r="U4" s="1117"/>
      <c r="V4" s="1117"/>
      <c r="W4" s="1117"/>
      <c r="X4" s="1117"/>
    </row>
    <row r="5" spans="2:15" ht="18" customHeight="1">
      <c r="B5" s="754"/>
      <c r="C5" s="754"/>
      <c r="D5" s="754"/>
      <c r="E5" s="754"/>
      <c r="F5" s="754"/>
      <c r="G5" s="754"/>
      <c r="H5" s="754"/>
      <c r="I5" s="754"/>
      <c r="J5" s="754"/>
      <c r="K5" s="754"/>
      <c r="L5" s="754"/>
      <c r="M5" s="754"/>
      <c r="N5" s="754"/>
      <c r="O5" s="754"/>
    </row>
    <row r="6" spans="1:24" s="52" customFormat="1" ht="18" customHeight="1">
      <c r="A6" s="755"/>
      <c r="B6" s="372" t="s">
        <v>41</v>
      </c>
      <c r="C6" s="372" t="s">
        <v>42</v>
      </c>
      <c r="D6" s="372" t="s">
        <v>43</v>
      </c>
      <c r="E6" s="372" t="s">
        <v>44</v>
      </c>
      <c r="F6" s="372" t="s">
        <v>45</v>
      </c>
      <c r="G6" s="372" t="s">
        <v>46</v>
      </c>
      <c r="H6" s="372" t="s">
        <v>47</v>
      </c>
      <c r="I6" s="372" t="s">
        <v>48</v>
      </c>
      <c r="J6" s="372" t="s">
        <v>49</v>
      </c>
      <c r="K6" s="372" t="s">
        <v>50</v>
      </c>
      <c r="L6" s="372" t="s">
        <v>51</v>
      </c>
      <c r="M6" s="372" t="s">
        <v>52</v>
      </c>
      <c r="N6" s="372" t="s">
        <v>53</v>
      </c>
      <c r="O6" s="372" t="s">
        <v>54</v>
      </c>
      <c r="P6" s="372" t="s">
        <v>55</v>
      </c>
      <c r="Q6" s="372" t="s">
        <v>513</v>
      </c>
      <c r="R6" s="372" t="s">
        <v>542</v>
      </c>
      <c r="S6" s="375" t="s">
        <v>562</v>
      </c>
      <c r="T6" s="372" t="s">
        <v>651</v>
      </c>
      <c r="U6" s="372" t="s">
        <v>663</v>
      </c>
      <c r="V6" s="372" t="s">
        <v>690</v>
      </c>
      <c r="W6" s="372" t="s">
        <v>733</v>
      </c>
      <c r="X6" s="825" t="s">
        <v>784</v>
      </c>
    </row>
    <row r="7" spans="1:24" s="394" customFormat="1" ht="18" customHeight="1">
      <c r="A7" s="373" t="s">
        <v>151</v>
      </c>
      <c r="B7" s="358">
        <f aca="true" t="shared" si="0" ref="B7:X7">SUM(B8:B10)</f>
        <v>11096</v>
      </c>
      <c r="C7" s="358">
        <f t="shared" si="0"/>
        <v>12816</v>
      </c>
      <c r="D7" s="358">
        <f t="shared" si="0"/>
        <v>12086</v>
      </c>
      <c r="E7" s="358">
        <f t="shared" si="0"/>
        <v>14462</v>
      </c>
      <c r="F7" s="358">
        <f t="shared" si="0"/>
        <v>16319</v>
      </c>
      <c r="G7" s="358">
        <f t="shared" si="0"/>
        <v>19007</v>
      </c>
      <c r="H7" s="358">
        <f t="shared" si="0"/>
        <v>41361</v>
      </c>
      <c r="I7" s="358">
        <f t="shared" si="0"/>
        <v>84144</v>
      </c>
      <c r="J7" s="358">
        <f t="shared" si="0"/>
        <v>88788</v>
      </c>
      <c r="K7" s="358">
        <f t="shared" si="0"/>
        <v>92778</v>
      </c>
      <c r="L7" s="358">
        <f t="shared" si="0"/>
        <v>107331</v>
      </c>
      <c r="M7" s="358">
        <f t="shared" si="0"/>
        <v>150792</v>
      </c>
      <c r="N7" s="358">
        <f t="shared" si="0"/>
        <v>157501</v>
      </c>
      <c r="O7" s="358">
        <f t="shared" si="0"/>
        <v>162240</v>
      </c>
      <c r="P7" s="358">
        <f t="shared" si="0"/>
        <v>169460</v>
      </c>
      <c r="Q7" s="358">
        <f t="shared" si="0"/>
        <v>170085</v>
      </c>
      <c r="R7" s="358">
        <f t="shared" si="0"/>
        <v>203956</v>
      </c>
      <c r="S7" s="376">
        <f t="shared" si="0"/>
        <v>201735</v>
      </c>
      <c r="T7" s="358">
        <f t="shared" si="0"/>
        <v>197001</v>
      </c>
      <c r="U7" s="358">
        <f t="shared" si="0"/>
        <v>226087</v>
      </c>
      <c r="V7" s="358">
        <f>SUM(V8:V10)</f>
        <v>215724</v>
      </c>
      <c r="W7" s="358">
        <f>SUM(W8:W10)</f>
        <v>250035</v>
      </c>
      <c r="X7" s="826">
        <f t="shared" si="0"/>
        <v>297356</v>
      </c>
    </row>
    <row r="8" spans="1:24" s="394" customFormat="1" ht="18" customHeight="1">
      <c r="A8" s="756" t="s">
        <v>103</v>
      </c>
      <c r="B8" s="374">
        <v>568</v>
      </c>
      <c r="C8" s="374">
        <v>1000</v>
      </c>
      <c r="D8" s="374">
        <v>1001</v>
      </c>
      <c r="E8" s="374">
        <v>1019</v>
      </c>
      <c r="F8" s="374">
        <v>1149</v>
      </c>
      <c r="G8" s="374">
        <v>1023</v>
      </c>
      <c r="H8" s="374">
        <v>20903</v>
      </c>
      <c r="I8" s="374">
        <v>61555</v>
      </c>
      <c r="J8" s="374">
        <v>58164</v>
      </c>
      <c r="K8" s="374">
        <v>57502</v>
      </c>
      <c r="L8" s="374">
        <v>62115</v>
      </c>
      <c r="M8" s="374">
        <v>75328</v>
      </c>
      <c r="N8" s="374">
        <v>71154</v>
      </c>
      <c r="O8" s="374">
        <v>71408</v>
      </c>
      <c r="P8" s="374">
        <v>72227</v>
      </c>
      <c r="Q8" s="374">
        <v>70408</v>
      </c>
      <c r="R8" s="374">
        <v>71468</v>
      </c>
      <c r="S8" s="757">
        <v>66493</v>
      </c>
      <c r="T8" s="374">
        <v>76084</v>
      </c>
      <c r="U8" s="374">
        <v>110044</v>
      </c>
      <c r="V8" s="374">
        <v>106687</v>
      </c>
      <c r="W8" s="374">
        <v>114027</v>
      </c>
      <c r="X8" s="804">
        <v>103715</v>
      </c>
    </row>
    <row r="9" spans="1:24" s="394" customFormat="1" ht="18" customHeight="1">
      <c r="A9" s="756" t="s">
        <v>73</v>
      </c>
      <c r="B9" s="374">
        <v>6756</v>
      </c>
      <c r="C9" s="374">
        <v>8647</v>
      </c>
      <c r="D9" s="374">
        <v>7581</v>
      </c>
      <c r="E9" s="374">
        <v>10304</v>
      </c>
      <c r="F9" s="374">
        <v>10807</v>
      </c>
      <c r="G9" s="374">
        <v>12712</v>
      </c>
      <c r="H9" s="374">
        <v>14717</v>
      </c>
      <c r="I9" s="374">
        <v>16269</v>
      </c>
      <c r="J9" s="374">
        <v>23237</v>
      </c>
      <c r="K9" s="374">
        <v>26861</v>
      </c>
      <c r="L9" s="374">
        <v>36344</v>
      </c>
      <c r="M9" s="374">
        <v>65947</v>
      </c>
      <c r="N9" s="374">
        <v>64364</v>
      </c>
      <c r="O9" s="374">
        <v>68007</v>
      </c>
      <c r="P9" s="374">
        <v>73320</v>
      </c>
      <c r="Q9" s="374">
        <v>74572</v>
      </c>
      <c r="R9" s="374">
        <f>105913+1280</f>
        <v>107193</v>
      </c>
      <c r="S9" s="757">
        <v>104391</v>
      </c>
      <c r="T9" s="374">
        <v>90826</v>
      </c>
      <c r="U9" s="374">
        <f>83985+75</f>
        <v>84060</v>
      </c>
      <c r="V9" s="374">
        <f>83321+2</f>
        <v>83323</v>
      </c>
      <c r="W9" s="374">
        <v>108442</v>
      </c>
      <c r="X9" s="804">
        <v>168203</v>
      </c>
    </row>
    <row r="10" spans="1:25" s="394" customFormat="1" ht="18" customHeight="1">
      <c r="A10" s="756" t="s">
        <v>512</v>
      </c>
      <c r="B10" s="374">
        <v>3772</v>
      </c>
      <c r="C10" s="374">
        <v>3169</v>
      </c>
      <c r="D10" s="374">
        <v>3504</v>
      </c>
      <c r="E10" s="374">
        <v>3139</v>
      </c>
      <c r="F10" s="374">
        <v>4363</v>
      </c>
      <c r="G10" s="374">
        <v>5272</v>
      </c>
      <c r="H10" s="374">
        <v>5741</v>
      </c>
      <c r="I10" s="374">
        <v>6320</v>
      </c>
      <c r="J10" s="374">
        <v>7387</v>
      </c>
      <c r="K10" s="374">
        <v>8415</v>
      </c>
      <c r="L10" s="374">
        <v>8872</v>
      </c>
      <c r="M10" s="374">
        <v>9517</v>
      </c>
      <c r="N10" s="374">
        <v>21983</v>
      </c>
      <c r="O10" s="374">
        <v>22825</v>
      </c>
      <c r="P10" s="374">
        <v>23913</v>
      </c>
      <c r="Q10" s="374">
        <v>25105</v>
      </c>
      <c r="R10" s="374">
        <v>25295</v>
      </c>
      <c r="S10" s="757">
        <v>30851</v>
      </c>
      <c r="T10" s="374">
        <v>30091</v>
      </c>
      <c r="U10" s="374">
        <v>31983</v>
      </c>
      <c r="V10" s="374">
        <v>25714</v>
      </c>
      <c r="W10" s="374">
        <v>27566</v>
      </c>
      <c r="X10" s="804">
        <v>25438</v>
      </c>
      <c r="Y10" s="289"/>
    </row>
    <row r="11" spans="1:24" s="394" customFormat="1" ht="12.75">
      <c r="A11" s="762"/>
      <c r="B11" s="520"/>
      <c r="C11" s="520"/>
      <c r="D11" s="520"/>
      <c r="E11" s="520"/>
      <c r="F11" s="520"/>
      <c r="G11" s="520"/>
      <c r="H11" s="520"/>
      <c r="I11" s="520"/>
      <c r="J11" s="520"/>
      <c r="K11" s="520"/>
      <c r="L11" s="520"/>
      <c r="M11" s="520"/>
      <c r="N11" s="520"/>
      <c r="O11" s="520"/>
      <c r="S11" s="775"/>
      <c r="X11" s="827"/>
    </row>
    <row r="12" spans="1:25" s="616" customFormat="1" ht="12.75" customHeight="1">
      <c r="A12" s="1173" t="s">
        <v>709</v>
      </c>
      <c r="B12" s="1173"/>
      <c r="C12" s="1173"/>
      <c r="D12" s="1173"/>
      <c r="E12" s="1173"/>
      <c r="F12" s="1173"/>
      <c r="G12" s="1173"/>
      <c r="H12" s="1173"/>
      <c r="I12" s="1173"/>
      <c r="J12" s="1173"/>
      <c r="K12" s="1173"/>
      <c r="L12" s="1173"/>
      <c r="M12" s="1173"/>
      <c r="N12" s="1173"/>
      <c r="O12" s="1173"/>
      <c r="P12" s="1173"/>
      <c r="Q12" s="1173"/>
      <c r="R12" s="1173"/>
      <c r="S12" s="1173"/>
      <c r="T12" s="1173"/>
      <c r="U12" s="1173"/>
      <c r="V12" s="1173"/>
      <c r="W12" s="1173"/>
      <c r="X12" s="1173"/>
      <c r="Y12" s="776"/>
    </row>
    <row r="13" spans="1:25" s="616" customFormat="1" ht="12.75" customHeight="1">
      <c r="A13" s="777"/>
      <c r="B13" s="777"/>
      <c r="C13" s="777"/>
      <c r="D13" s="777"/>
      <c r="E13" s="777"/>
      <c r="F13" s="777"/>
      <c r="G13" s="777"/>
      <c r="H13" s="777"/>
      <c r="I13" s="777"/>
      <c r="J13" s="777"/>
      <c r="K13" s="777"/>
      <c r="L13" s="777"/>
      <c r="M13" s="777"/>
      <c r="N13" s="777"/>
      <c r="O13" s="777"/>
      <c r="P13" s="777"/>
      <c r="Q13" s="777"/>
      <c r="R13" s="777"/>
      <c r="S13" s="778"/>
      <c r="T13" s="777"/>
      <c r="U13" s="777"/>
      <c r="V13" s="777"/>
      <c r="W13" s="777"/>
      <c r="X13" s="771"/>
      <c r="Y13" s="779"/>
    </row>
    <row r="14" spans="1:25" s="53" customFormat="1" ht="12" customHeight="1">
      <c r="A14" s="1174" t="s">
        <v>560</v>
      </c>
      <c r="B14" s="1174"/>
      <c r="C14" s="1174"/>
      <c r="D14" s="1174"/>
      <c r="E14" s="1174"/>
      <c r="F14" s="1174"/>
      <c r="G14" s="1174"/>
      <c r="H14" s="1174"/>
      <c r="I14" s="1174"/>
      <c r="J14" s="1174"/>
      <c r="K14" s="1174"/>
      <c r="L14" s="1174"/>
      <c r="M14" s="1174"/>
      <c r="N14" s="1174"/>
      <c r="O14" s="1174"/>
      <c r="P14" s="1174"/>
      <c r="Q14" s="1174"/>
      <c r="R14" s="1174"/>
      <c r="S14" s="1174"/>
      <c r="T14" s="1174"/>
      <c r="U14" s="1174"/>
      <c r="V14" s="1174"/>
      <c r="W14" s="1174"/>
      <c r="X14" s="1174"/>
      <c r="Y14" s="616"/>
    </row>
    <row r="15" spans="1:26" s="771" customFormat="1" ht="12.75" customHeight="1">
      <c r="A15" s="1118" t="s">
        <v>780</v>
      </c>
      <c r="B15" s="1118"/>
      <c r="C15" s="1118"/>
      <c r="D15" s="1118"/>
      <c r="E15" s="1118"/>
      <c r="F15" s="1118"/>
      <c r="G15" s="1118"/>
      <c r="H15" s="1118"/>
      <c r="I15" s="1118"/>
      <c r="J15" s="1118"/>
      <c r="K15" s="1118"/>
      <c r="L15" s="1118"/>
      <c r="M15" s="1118"/>
      <c r="N15" s="1118"/>
      <c r="O15" s="1118"/>
      <c r="P15" s="1118"/>
      <c r="Q15" s="1118"/>
      <c r="R15" s="1118"/>
      <c r="S15" s="1118"/>
      <c r="T15" s="1118"/>
      <c r="U15" s="1118"/>
      <c r="V15" s="1118"/>
      <c r="W15" s="1118"/>
      <c r="X15" s="1118"/>
      <c r="Y15" s="753"/>
      <c r="Z15" s="753"/>
    </row>
    <row r="16" spans="1:26" s="771" customFormat="1" ht="12.75" customHeight="1">
      <c r="A16" s="1118" t="s">
        <v>788</v>
      </c>
      <c r="B16" s="1118"/>
      <c r="C16" s="1118"/>
      <c r="D16" s="1118"/>
      <c r="E16" s="1118"/>
      <c r="F16" s="1118"/>
      <c r="G16" s="1118"/>
      <c r="H16" s="1118"/>
      <c r="I16" s="1118"/>
      <c r="J16" s="1118"/>
      <c r="K16" s="1118"/>
      <c r="L16" s="1118"/>
      <c r="M16" s="1118"/>
      <c r="N16" s="1118"/>
      <c r="O16" s="1118"/>
      <c r="P16" s="1118"/>
      <c r="Q16" s="1118"/>
      <c r="R16" s="1118"/>
      <c r="S16" s="1118"/>
      <c r="T16" s="1118"/>
      <c r="U16" s="1118"/>
      <c r="V16" s="1118"/>
      <c r="W16" s="1118"/>
      <c r="X16" s="1118"/>
      <c r="Y16" s="753"/>
      <c r="Z16" s="753"/>
    </row>
    <row r="46" spans="16:17" ht="15">
      <c r="P46" s="780"/>
      <c r="Q46" s="780"/>
    </row>
    <row r="47" spans="16:17" ht="15">
      <c r="P47" s="780"/>
      <c r="Q47" s="780"/>
    </row>
  </sheetData>
  <sheetProtection/>
  <mergeCells count="7">
    <mergeCell ref="A16:X16"/>
    <mergeCell ref="A1:X1"/>
    <mergeCell ref="A3:X3"/>
    <mergeCell ref="A4:X4"/>
    <mergeCell ref="A12:X12"/>
    <mergeCell ref="A14:X14"/>
    <mergeCell ref="A15:X15"/>
  </mergeCells>
  <printOptions horizontalCentered="1"/>
  <pageMargins left="0.7874015748031497" right="0.7874015748031497" top="0.7874015748031497" bottom="0.7874015748031497" header="0.31496062992125984" footer="0.31496062992125984"/>
  <pageSetup fitToHeight="1" fitToWidth="1" horizontalDpi="600" verticalDpi="600" orientation="landscape" scale="48" r:id="rId1"/>
</worksheet>
</file>

<file path=xl/worksheets/sheet15.xml><?xml version="1.0" encoding="utf-8"?>
<worksheet xmlns="http://schemas.openxmlformats.org/spreadsheetml/2006/main" xmlns:r="http://schemas.openxmlformats.org/officeDocument/2006/relationships">
  <sheetPr>
    <tabColor rgb="FF660066"/>
    <pageSetUpPr fitToPage="1"/>
  </sheetPr>
  <dimension ref="A1:AM21"/>
  <sheetViews>
    <sheetView zoomScalePageLayoutView="0" workbookViewId="0" topLeftCell="A1">
      <selection activeCell="A1" sqref="A1:Y1"/>
    </sheetView>
  </sheetViews>
  <sheetFormatPr defaultColWidth="10.28125" defaultRowHeight="12.75"/>
  <cols>
    <col min="1" max="1" width="20.7109375" style="0" customWidth="1"/>
    <col min="2" max="19" width="11.8515625" style="0" customWidth="1"/>
    <col min="20" max="24" width="11.8515625" style="2" customWidth="1"/>
    <col min="25" max="25" width="11.8515625" style="461" customWidth="1"/>
  </cols>
  <sheetData>
    <row r="1" spans="1:25" ht="13.5" customHeight="1">
      <c r="A1" s="1175" t="s">
        <v>583</v>
      </c>
      <c r="B1" s="1176"/>
      <c r="C1" s="1176"/>
      <c r="D1" s="1176"/>
      <c r="E1" s="1176"/>
      <c r="F1" s="1176"/>
      <c r="G1" s="1176"/>
      <c r="H1" s="1176"/>
      <c r="I1" s="1176"/>
      <c r="J1" s="1176"/>
      <c r="K1" s="1176"/>
      <c r="L1" s="1114"/>
      <c r="M1" s="1114"/>
      <c r="N1" s="1114"/>
      <c r="O1" s="1114"/>
      <c r="P1" s="1114"/>
      <c r="Q1" s="1114"/>
      <c r="R1" s="1114"/>
      <c r="S1" s="1114"/>
      <c r="T1" s="1114"/>
      <c r="U1" s="1114"/>
      <c r="V1" s="1114"/>
      <c r="W1" s="1114"/>
      <c r="X1" s="1114"/>
      <c r="Y1" s="1114"/>
    </row>
    <row r="2" spans="1:11" ht="13.5" customHeight="1">
      <c r="A2" s="291"/>
      <c r="B2" s="291"/>
      <c r="C2" s="291"/>
      <c r="D2" s="291"/>
      <c r="E2" s="291"/>
      <c r="F2" s="291"/>
      <c r="G2" s="291"/>
      <c r="H2" s="291"/>
      <c r="I2" s="291"/>
      <c r="J2" s="291"/>
      <c r="K2" s="291"/>
    </row>
    <row r="3" spans="1:37" s="30" customFormat="1" ht="18" customHeight="1">
      <c r="A3" s="1109" t="s">
        <v>8</v>
      </c>
      <c r="B3" s="1109"/>
      <c r="C3" s="1109"/>
      <c r="D3" s="1109"/>
      <c r="E3" s="1109"/>
      <c r="F3" s="1109"/>
      <c r="G3" s="1109"/>
      <c r="H3" s="1109"/>
      <c r="I3" s="1109"/>
      <c r="J3" s="1109"/>
      <c r="K3" s="1109"/>
      <c r="L3" s="1110"/>
      <c r="M3" s="1110"/>
      <c r="N3" s="1110"/>
      <c r="O3" s="1110"/>
      <c r="P3" s="1110"/>
      <c r="Q3" s="1110"/>
      <c r="R3" s="1110"/>
      <c r="S3" s="1110"/>
      <c r="T3" s="1110"/>
      <c r="U3" s="1110"/>
      <c r="V3" s="1110"/>
      <c r="W3" s="1110"/>
      <c r="X3" s="1110"/>
      <c r="Y3" s="1110"/>
      <c r="Z3" s="10"/>
      <c r="AA3" s="10"/>
      <c r="AB3" s="10"/>
      <c r="AC3" s="10"/>
      <c r="AD3" s="10"/>
      <c r="AE3" s="10"/>
      <c r="AF3" s="10"/>
      <c r="AG3" s="10"/>
      <c r="AH3" s="10"/>
      <c r="AI3" s="10"/>
      <c r="AJ3" s="10"/>
      <c r="AK3" s="10"/>
    </row>
    <row r="4" spans="1:37" s="30" customFormat="1" ht="18" customHeight="1">
      <c r="A4" s="1111" t="s">
        <v>778</v>
      </c>
      <c r="B4" s="1111"/>
      <c r="C4" s="1111"/>
      <c r="D4" s="1111"/>
      <c r="E4" s="1111"/>
      <c r="F4" s="1111"/>
      <c r="G4" s="1111"/>
      <c r="H4" s="1111"/>
      <c r="I4" s="1111"/>
      <c r="J4" s="1111"/>
      <c r="K4" s="1111"/>
      <c r="L4" s="1112"/>
      <c r="M4" s="1112"/>
      <c r="N4" s="1112"/>
      <c r="O4" s="1112"/>
      <c r="P4" s="1112"/>
      <c r="Q4" s="1112"/>
      <c r="R4" s="1112"/>
      <c r="S4" s="1112"/>
      <c r="T4" s="1112"/>
      <c r="U4" s="1112"/>
      <c r="V4" s="1112"/>
      <c r="W4" s="1112"/>
      <c r="X4" s="1112"/>
      <c r="Y4" s="1112"/>
      <c r="Z4" s="10"/>
      <c r="AA4" s="10"/>
      <c r="AB4" s="10"/>
      <c r="AC4" s="10"/>
      <c r="AD4" s="10"/>
      <c r="AE4" s="10"/>
      <c r="AF4" s="10"/>
      <c r="AG4" s="10"/>
      <c r="AH4" s="10"/>
      <c r="AI4" s="10"/>
      <c r="AJ4" s="10"/>
      <c r="AK4" s="10"/>
    </row>
    <row r="5" spans="1:37" s="30" customFormat="1" ht="18" customHeight="1">
      <c r="A5" s="10"/>
      <c r="B5" s="10"/>
      <c r="C5" s="10"/>
      <c r="D5" s="10"/>
      <c r="E5" s="10"/>
      <c r="F5" s="10"/>
      <c r="G5" s="10"/>
      <c r="H5" s="10"/>
      <c r="I5" s="10"/>
      <c r="J5" s="10"/>
      <c r="K5" s="10"/>
      <c r="L5" s="10"/>
      <c r="M5" s="10"/>
      <c r="N5" s="10"/>
      <c r="O5" s="10"/>
      <c r="P5" s="10"/>
      <c r="Q5" s="10"/>
      <c r="R5" s="10"/>
      <c r="S5" s="10"/>
      <c r="T5" s="10"/>
      <c r="U5" s="10"/>
      <c r="V5" s="10"/>
      <c r="W5" s="10"/>
      <c r="X5" s="10"/>
      <c r="Y5" s="928"/>
      <c r="Z5" s="10"/>
      <c r="AA5" s="10"/>
      <c r="AB5" s="10"/>
      <c r="AC5" s="10"/>
      <c r="AD5" s="10"/>
      <c r="AE5" s="10"/>
      <c r="AF5" s="10"/>
      <c r="AG5" s="10"/>
      <c r="AH5" s="10"/>
      <c r="AI5" s="10"/>
      <c r="AJ5" s="10"/>
      <c r="AK5" s="10"/>
    </row>
    <row r="6" spans="1:39" s="2" customFormat="1" ht="18" customHeight="1">
      <c r="A6" s="291"/>
      <c r="B6" s="191" t="s">
        <v>40</v>
      </c>
      <c r="C6" s="191" t="s">
        <v>41</v>
      </c>
      <c r="D6" s="191" t="s">
        <v>42</v>
      </c>
      <c r="E6" s="191" t="s">
        <v>43</v>
      </c>
      <c r="F6" s="191" t="s">
        <v>44</v>
      </c>
      <c r="G6" s="191" t="s">
        <v>45</v>
      </c>
      <c r="H6" s="191" t="s">
        <v>46</v>
      </c>
      <c r="I6" s="191" t="s">
        <v>47</v>
      </c>
      <c r="J6" s="191" t="s">
        <v>48</v>
      </c>
      <c r="K6" s="191" t="s">
        <v>49</v>
      </c>
      <c r="L6" s="191" t="s">
        <v>50</v>
      </c>
      <c r="M6" s="191" t="s">
        <v>152</v>
      </c>
      <c r="N6" s="191" t="s">
        <v>52</v>
      </c>
      <c r="O6" s="191" t="s">
        <v>53</v>
      </c>
      <c r="P6" s="191" t="s">
        <v>54</v>
      </c>
      <c r="Q6" s="191" t="s">
        <v>55</v>
      </c>
      <c r="R6" s="191" t="s">
        <v>513</v>
      </c>
      <c r="S6" s="191" t="s">
        <v>542</v>
      </c>
      <c r="T6" s="191" t="s">
        <v>562</v>
      </c>
      <c r="U6" s="191" t="s">
        <v>651</v>
      </c>
      <c r="V6" s="191" t="s">
        <v>663</v>
      </c>
      <c r="W6" s="191" t="s">
        <v>690</v>
      </c>
      <c r="X6" s="191" t="s">
        <v>733</v>
      </c>
      <c r="Y6" s="929" t="s">
        <v>784</v>
      </c>
      <c r="Z6" s="5"/>
      <c r="AA6" s="5"/>
      <c r="AB6" s="5"/>
      <c r="AC6" s="5"/>
      <c r="AD6" s="5"/>
      <c r="AE6" s="5"/>
      <c r="AF6" s="5"/>
      <c r="AG6" s="5"/>
      <c r="AH6" s="5"/>
      <c r="AI6" s="5"/>
      <c r="AJ6" s="5"/>
      <c r="AK6" s="5"/>
      <c r="AL6" s="5"/>
      <c r="AM6" s="5"/>
    </row>
    <row r="7" spans="1:39" ht="18" customHeight="1">
      <c r="A7" s="190" t="s">
        <v>140</v>
      </c>
      <c r="B7" s="177">
        <f aca="true" t="shared" si="0" ref="B7:P7">SUM(B8:B9)</f>
        <v>553</v>
      </c>
      <c r="C7" s="177">
        <f t="shared" si="0"/>
        <v>570</v>
      </c>
      <c r="D7" s="177">
        <f t="shared" si="0"/>
        <v>575</v>
      </c>
      <c r="E7" s="177">
        <f t="shared" si="0"/>
        <v>568</v>
      </c>
      <c r="F7" s="177">
        <f t="shared" si="0"/>
        <v>526</v>
      </c>
      <c r="G7" s="177">
        <f t="shared" si="0"/>
        <v>512</v>
      </c>
      <c r="H7" s="177">
        <f t="shared" si="0"/>
        <v>492</v>
      </c>
      <c r="I7" s="177">
        <f t="shared" si="0"/>
        <v>473</v>
      </c>
      <c r="J7" s="177">
        <f t="shared" si="0"/>
        <v>463</v>
      </c>
      <c r="K7" s="177">
        <f t="shared" si="0"/>
        <v>457</v>
      </c>
      <c r="L7" s="177">
        <f t="shared" si="0"/>
        <v>468</v>
      </c>
      <c r="M7" s="177">
        <f t="shared" si="0"/>
        <v>466</v>
      </c>
      <c r="N7" s="177">
        <f t="shared" si="0"/>
        <v>477</v>
      </c>
      <c r="O7" s="177">
        <f t="shared" si="0"/>
        <v>490</v>
      </c>
      <c r="P7" s="177">
        <f t="shared" si="0"/>
        <v>497</v>
      </c>
      <c r="Q7" s="177">
        <f aca="true" t="shared" si="1" ref="Q7:Y7">SUM(Q8:Q9)</f>
        <v>492</v>
      </c>
      <c r="R7" s="177">
        <f t="shared" si="1"/>
        <v>499</v>
      </c>
      <c r="S7" s="177">
        <f t="shared" si="1"/>
        <v>520</v>
      </c>
      <c r="T7" s="177">
        <f t="shared" si="1"/>
        <v>514</v>
      </c>
      <c r="U7" s="177">
        <f t="shared" si="1"/>
        <v>513</v>
      </c>
      <c r="V7" s="358">
        <f t="shared" si="1"/>
        <v>521</v>
      </c>
      <c r="W7" s="358">
        <f t="shared" si="1"/>
        <v>510</v>
      </c>
      <c r="X7" s="358">
        <f>SUM(X8:X9)</f>
        <v>511</v>
      </c>
      <c r="Y7" s="826">
        <f t="shared" si="1"/>
        <v>499</v>
      </c>
      <c r="Z7" s="17"/>
      <c r="AA7" s="17"/>
      <c r="AB7" s="17"/>
      <c r="AC7" s="17"/>
      <c r="AD7" s="17"/>
      <c r="AE7" s="17"/>
      <c r="AF7" s="17"/>
      <c r="AG7" s="17"/>
      <c r="AH7" s="17"/>
      <c r="AI7" s="17"/>
      <c r="AJ7" s="17"/>
      <c r="AK7" s="17"/>
      <c r="AL7" s="17"/>
      <c r="AM7" s="17"/>
    </row>
    <row r="8" spans="1:39" ht="18" customHeight="1">
      <c r="A8" s="179" t="s">
        <v>103</v>
      </c>
      <c r="B8" s="181">
        <v>341</v>
      </c>
      <c r="C8" s="181">
        <v>329</v>
      </c>
      <c r="D8" s="181">
        <v>335</v>
      </c>
      <c r="E8" s="181">
        <v>336</v>
      </c>
      <c r="F8" s="181">
        <v>331</v>
      </c>
      <c r="G8" s="181">
        <v>319</v>
      </c>
      <c r="H8" s="181">
        <v>316</v>
      </c>
      <c r="I8" s="181">
        <v>310</v>
      </c>
      <c r="J8" s="181">
        <v>307</v>
      </c>
      <c r="K8" s="181">
        <v>308</v>
      </c>
      <c r="L8" s="181">
        <v>313</v>
      </c>
      <c r="M8" s="181">
        <v>307</v>
      </c>
      <c r="N8" s="181">
        <v>309</v>
      </c>
      <c r="O8" s="181">
        <v>314</v>
      </c>
      <c r="P8" s="181">
        <v>313</v>
      </c>
      <c r="Q8" s="181">
        <v>305</v>
      </c>
      <c r="R8" s="170">
        <v>306</v>
      </c>
      <c r="S8" s="170">
        <v>308</v>
      </c>
      <c r="T8" s="181">
        <v>304</v>
      </c>
      <c r="U8" s="181">
        <v>303</v>
      </c>
      <c r="V8" s="65">
        <v>310</v>
      </c>
      <c r="W8" s="65">
        <v>301</v>
      </c>
      <c r="X8" s="65">
        <v>306</v>
      </c>
      <c r="Y8" s="753">
        <v>300</v>
      </c>
      <c r="Z8" s="17"/>
      <c r="AA8" s="17"/>
      <c r="AB8" s="17"/>
      <c r="AC8" s="17"/>
      <c r="AD8" s="17"/>
      <c r="AE8" s="17"/>
      <c r="AF8" s="17"/>
      <c r="AG8" s="17"/>
      <c r="AH8" s="17"/>
      <c r="AI8" s="17"/>
      <c r="AJ8" s="17"/>
      <c r="AK8" s="17"/>
      <c r="AL8" s="17"/>
      <c r="AM8" s="17"/>
    </row>
    <row r="9" spans="1:39" ht="18" customHeight="1">
      <c r="A9" s="179" t="s">
        <v>73</v>
      </c>
      <c r="B9" s="181">
        <v>212</v>
      </c>
      <c r="C9" s="181">
        <v>241</v>
      </c>
      <c r="D9" s="181">
        <v>240</v>
      </c>
      <c r="E9" s="181">
        <v>232</v>
      </c>
      <c r="F9" s="181">
        <v>195</v>
      </c>
      <c r="G9" s="181">
        <v>193</v>
      </c>
      <c r="H9" s="181">
        <v>176</v>
      </c>
      <c r="I9" s="181">
        <v>163</v>
      </c>
      <c r="J9" s="181">
        <v>156</v>
      </c>
      <c r="K9" s="181">
        <v>149</v>
      </c>
      <c r="L9" s="181">
        <v>155</v>
      </c>
      <c r="M9" s="181">
        <v>159</v>
      </c>
      <c r="N9" s="181">
        <v>168</v>
      </c>
      <c r="O9" s="181">
        <v>176</v>
      </c>
      <c r="P9" s="181">
        <v>184</v>
      </c>
      <c r="Q9" s="181">
        <v>187</v>
      </c>
      <c r="R9" s="170">
        <v>193</v>
      </c>
      <c r="S9" s="170">
        <v>212</v>
      </c>
      <c r="T9" s="181">
        <v>210</v>
      </c>
      <c r="U9" s="181">
        <v>210</v>
      </c>
      <c r="V9" s="65">
        <v>211</v>
      </c>
      <c r="W9" s="65">
        <v>209</v>
      </c>
      <c r="X9" s="65">
        <v>205</v>
      </c>
      <c r="Y9" s="753">
        <v>199</v>
      </c>
      <c r="Z9" s="17"/>
      <c r="AA9" s="17"/>
      <c r="AB9" s="17"/>
      <c r="AC9" s="17"/>
      <c r="AD9" s="17"/>
      <c r="AE9" s="17"/>
      <c r="AF9" s="17"/>
      <c r="AG9" s="17"/>
      <c r="AH9" s="17"/>
      <c r="AI9" s="17"/>
      <c r="AJ9" s="17"/>
      <c r="AK9" s="17"/>
      <c r="AL9" s="17"/>
      <c r="AM9" s="17"/>
    </row>
    <row r="10" spans="1:39" ht="18" customHeight="1">
      <c r="A10" s="190" t="s">
        <v>153</v>
      </c>
      <c r="B10" s="177">
        <f aca="true" t="shared" si="2" ref="B10:P10">SUM(B11:B12)</f>
        <v>10880</v>
      </c>
      <c r="C10" s="177">
        <f t="shared" si="2"/>
        <v>11440</v>
      </c>
      <c r="D10" s="177">
        <f t="shared" si="2"/>
        <v>11851</v>
      </c>
      <c r="E10" s="177">
        <f t="shared" si="2"/>
        <v>11945</v>
      </c>
      <c r="F10" s="177">
        <f t="shared" si="2"/>
        <v>12009</v>
      </c>
      <c r="G10" s="177">
        <f t="shared" si="2"/>
        <v>10530</v>
      </c>
      <c r="H10" s="177">
        <f t="shared" si="2"/>
        <v>11611</v>
      </c>
      <c r="I10" s="177">
        <f t="shared" si="2"/>
        <v>11279</v>
      </c>
      <c r="J10" s="177">
        <f t="shared" si="2"/>
        <v>10800</v>
      </c>
      <c r="K10" s="177">
        <f t="shared" si="2"/>
        <v>10202</v>
      </c>
      <c r="L10" s="177">
        <f t="shared" si="2"/>
        <v>9963</v>
      </c>
      <c r="M10" s="177">
        <f t="shared" si="2"/>
        <v>9083</v>
      </c>
      <c r="N10" s="177">
        <f t="shared" si="2"/>
        <v>9679</v>
      </c>
      <c r="O10" s="177">
        <f t="shared" si="2"/>
        <v>9696</v>
      </c>
      <c r="P10" s="177">
        <f t="shared" si="2"/>
        <v>9021</v>
      </c>
      <c r="Q10" s="177">
        <f aca="true" t="shared" si="3" ref="Q10:Y10">SUM(Q11:Q12)</f>
        <v>9144</v>
      </c>
      <c r="R10" s="177">
        <f t="shared" si="3"/>
        <v>9036</v>
      </c>
      <c r="S10" s="177">
        <f t="shared" si="3"/>
        <v>9490</v>
      </c>
      <c r="T10" s="177">
        <f t="shared" si="3"/>
        <v>9437</v>
      </c>
      <c r="U10" s="177">
        <f t="shared" si="3"/>
        <v>9434</v>
      </c>
      <c r="V10" s="358">
        <f t="shared" si="3"/>
        <v>9424</v>
      </c>
      <c r="W10" s="358">
        <f t="shared" si="3"/>
        <v>9037</v>
      </c>
      <c r="X10" s="358">
        <f>SUM(X11:X12)</f>
        <v>8675</v>
      </c>
      <c r="Y10" s="826">
        <f t="shared" si="3"/>
        <v>8514</v>
      </c>
      <c r="Z10" s="17"/>
      <c r="AA10" s="17"/>
      <c r="AB10" s="17"/>
      <c r="AC10" s="17"/>
      <c r="AD10" s="17"/>
      <c r="AE10" s="17"/>
      <c r="AF10" s="17"/>
      <c r="AG10" s="17"/>
      <c r="AH10" s="17"/>
      <c r="AI10" s="17"/>
      <c r="AJ10" s="17"/>
      <c r="AK10" s="17"/>
      <c r="AL10" s="17"/>
      <c r="AM10" s="17"/>
    </row>
    <row r="11" spans="1:39" ht="18" customHeight="1">
      <c r="A11" s="179" t="s">
        <v>103</v>
      </c>
      <c r="B11" s="181">
        <v>8253</v>
      </c>
      <c r="C11" s="181">
        <v>8633</v>
      </c>
      <c r="D11" s="181">
        <v>8734</v>
      </c>
      <c r="E11" s="181">
        <v>8603</v>
      </c>
      <c r="F11" s="181">
        <v>8650</v>
      </c>
      <c r="G11" s="181">
        <v>7827</v>
      </c>
      <c r="H11" s="181">
        <f>7369+1006</f>
        <v>8375</v>
      </c>
      <c r="I11" s="181">
        <v>8257</v>
      </c>
      <c r="J11" s="181">
        <f>7971</f>
        <v>7971</v>
      </c>
      <c r="K11" s="181">
        <v>7546</v>
      </c>
      <c r="L11" s="181">
        <v>7515</v>
      </c>
      <c r="M11" s="181">
        <v>6813</v>
      </c>
      <c r="N11" s="181">
        <v>7132</v>
      </c>
      <c r="O11" s="181">
        <v>7084</v>
      </c>
      <c r="P11" s="181">
        <v>6633</v>
      </c>
      <c r="Q11" s="181">
        <v>6559</v>
      </c>
      <c r="R11" s="170">
        <v>6513</v>
      </c>
      <c r="S11" s="170">
        <v>6597</v>
      </c>
      <c r="T11" s="181">
        <v>6504</v>
      </c>
      <c r="U11" s="181">
        <v>6391</v>
      </c>
      <c r="V11" s="181">
        <v>6343</v>
      </c>
      <c r="W11" s="181">
        <v>6133</v>
      </c>
      <c r="X11" s="181">
        <v>6008</v>
      </c>
      <c r="Y11" s="465">
        <v>5898</v>
      </c>
      <c r="Z11" s="17"/>
      <c r="AA11" s="17"/>
      <c r="AB11" s="17"/>
      <c r="AC11" s="17"/>
      <c r="AD11" s="17"/>
      <c r="AE11" s="17"/>
      <c r="AF11" s="17"/>
      <c r="AG11" s="17"/>
      <c r="AH11" s="17"/>
      <c r="AI11" s="17"/>
      <c r="AJ11" s="17"/>
      <c r="AK11" s="17"/>
      <c r="AL11" s="17"/>
      <c r="AM11" s="17"/>
    </row>
    <row r="12" spans="1:39" ht="18" customHeight="1">
      <c r="A12" s="179" t="s">
        <v>73</v>
      </c>
      <c r="B12" s="181">
        <v>2627</v>
      </c>
      <c r="C12" s="181">
        <v>2807</v>
      </c>
      <c r="D12" s="181">
        <v>3117</v>
      </c>
      <c r="E12" s="181">
        <v>3342</v>
      </c>
      <c r="F12" s="181">
        <v>3359</v>
      </c>
      <c r="G12" s="181">
        <v>2703</v>
      </c>
      <c r="H12" s="181">
        <v>3236</v>
      </c>
      <c r="I12" s="181">
        <v>3022</v>
      </c>
      <c r="J12" s="181">
        <v>2829</v>
      </c>
      <c r="K12" s="181">
        <v>2656</v>
      </c>
      <c r="L12" s="181">
        <v>2448</v>
      </c>
      <c r="M12" s="181">
        <v>2270</v>
      </c>
      <c r="N12" s="181">
        <v>2547</v>
      </c>
      <c r="O12" s="181">
        <v>2612</v>
      </c>
      <c r="P12" s="181">
        <v>2388</v>
      </c>
      <c r="Q12" s="181">
        <v>2585</v>
      </c>
      <c r="R12" s="170">
        <v>2523</v>
      </c>
      <c r="S12" s="170">
        <v>2893</v>
      </c>
      <c r="T12" s="181">
        <v>2933</v>
      </c>
      <c r="U12" s="181">
        <v>3043</v>
      </c>
      <c r="V12" s="181">
        <v>3081</v>
      </c>
      <c r="W12" s="181">
        <v>2904</v>
      </c>
      <c r="X12" s="181">
        <v>2667</v>
      </c>
      <c r="Y12" s="465">
        <v>2616</v>
      </c>
      <c r="Z12" s="17"/>
      <c r="AA12" s="17"/>
      <c r="AB12" s="17"/>
      <c r="AC12" s="17"/>
      <c r="AD12" s="17"/>
      <c r="AE12" s="17"/>
      <c r="AF12" s="17"/>
      <c r="AG12" s="17"/>
      <c r="AH12" s="17"/>
      <c r="AI12" s="17"/>
      <c r="AJ12" s="17"/>
      <c r="AK12" s="17"/>
      <c r="AL12" s="17"/>
      <c r="AM12" s="17"/>
    </row>
    <row r="13" spans="1:39" ht="18" customHeight="1">
      <c r="A13" s="190" t="s">
        <v>154</v>
      </c>
      <c r="B13" s="177">
        <f aca="true" t="shared" si="4" ref="B13:P13">SUM(B14:B15)</f>
        <v>102831</v>
      </c>
      <c r="C13" s="177">
        <f t="shared" si="4"/>
        <v>103249</v>
      </c>
      <c r="D13" s="177">
        <f t="shared" si="4"/>
        <v>104237</v>
      </c>
      <c r="E13" s="177">
        <f t="shared" si="4"/>
        <v>102168</v>
      </c>
      <c r="F13" s="177">
        <f t="shared" si="4"/>
        <v>99178</v>
      </c>
      <c r="G13" s="177">
        <f t="shared" si="4"/>
        <v>94090</v>
      </c>
      <c r="H13" s="177">
        <f t="shared" si="4"/>
        <v>90368</v>
      </c>
      <c r="I13" s="177">
        <f t="shared" si="4"/>
        <v>86694</v>
      </c>
      <c r="J13" s="177">
        <f t="shared" si="4"/>
        <v>83325</v>
      </c>
      <c r="K13" s="177">
        <f t="shared" si="4"/>
        <v>77941</v>
      </c>
      <c r="L13" s="177">
        <f t="shared" si="4"/>
        <v>70037</v>
      </c>
      <c r="M13" s="177">
        <f t="shared" si="4"/>
        <v>74473</v>
      </c>
      <c r="N13" s="177">
        <f t="shared" si="4"/>
        <v>70413</v>
      </c>
      <c r="O13" s="177">
        <f t="shared" si="4"/>
        <v>71022</v>
      </c>
      <c r="P13" s="177">
        <f t="shared" si="4"/>
        <v>73581</v>
      </c>
      <c r="Q13" s="177">
        <f aca="true" t="shared" si="5" ref="Q13:Y13">SUM(Q14:Q15)</f>
        <v>73680</v>
      </c>
      <c r="R13" s="177">
        <f t="shared" si="5"/>
        <v>70483</v>
      </c>
      <c r="S13" s="177">
        <f t="shared" si="5"/>
        <v>77987</v>
      </c>
      <c r="T13" s="177">
        <f t="shared" si="5"/>
        <v>75901</v>
      </c>
      <c r="U13" s="177">
        <f t="shared" si="5"/>
        <v>77338</v>
      </c>
      <c r="V13" s="358">
        <f t="shared" si="5"/>
        <v>75183</v>
      </c>
      <c r="W13" s="358">
        <f t="shared" si="5"/>
        <v>69883</v>
      </c>
      <c r="X13" s="358">
        <f>SUM(X14:X15)</f>
        <v>65309</v>
      </c>
      <c r="Y13" s="826">
        <f t="shared" si="5"/>
        <v>66690</v>
      </c>
      <c r="Z13" s="17"/>
      <c r="AA13" s="17"/>
      <c r="AB13" s="17"/>
      <c r="AC13" s="17"/>
      <c r="AD13" s="17"/>
      <c r="AE13" s="17"/>
      <c r="AF13" s="17"/>
      <c r="AG13" s="17"/>
      <c r="AH13" s="17"/>
      <c r="AI13" s="17"/>
      <c r="AJ13" s="17"/>
      <c r="AK13" s="17"/>
      <c r="AL13" s="17"/>
      <c r="AM13" s="17"/>
    </row>
    <row r="14" spans="1:39" ht="18" customHeight="1">
      <c r="A14" s="179" t="s">
        <v>103</v>
      </c>
      <c r="B14" s="181">
        <v>87973</v>
      </c>
      <c r="C14" s="181">
        <v>87746</v>
      </c>
      <c r="D14" s="181">
        <v>88301</v>
      </c>
      <c r="E14" s="181">
        <v>85432</v>
      </c>
      <c r="F14" s="181">
        <v>82579</v>
      </c>
      <c r="G14" s="181">
        <v>77608</v>
      </c>
      <c r="H14" s="181">
        <v>74526</v>
      </c>
      <c r="I14" s="181">
        <v>71115</v>
      </c>
      <c r="J14" s="181">
        <v>68401</v>
      </c>
      <c r="K14" s="181">
        <v>63635</v>
      </c>
      <c r="L14" s="181">
        <v>56019</v>
      </c>
      <c r="M14" s="181">
        <v>59204</v>
      </c>
      <c r="N14" s="181">
        <v>54594</v>
      </c>
      <c r="O14" s="181">
        <v>54139</v>
      </c>
      <c r="P14" s="181">
        <v>55404</v>
      </c>
      <c r="Q14" s="181">
        <v>54556</v>
      </c>
      <c r="R14" s="170">
        <v>53135</v>
      </c>
      <c r="S14" s="170">
        <v>57493</v>
      </c>
      <c r="T14" s="181">
        <v>56947</v>
      </c>
      <c r="U14" s="181">
        <v>56309</v>
      </c>
      <c r="V14" s="181">
        <v>53845</v>
      </c>
      <c r="W14" s="181">
        <v>50571</v>
      </c>
      <c r="X14" s="181">
        <v>47360</v>
      </c>
      <c r="Y14" s="465">
        <v>48200</v>
      </c>
      <c r="Z14" s="17"/>
      <c r="AA14" s="17"/>
      <c r="AB14" s="17"/>
      <c r="AC14" s="17"/>
      <c r="AD14" s="17"/>
      <c r="AE14" s="17"/>
      <c r="AF14" s="17"/>
      <c r="AG14" s="17"/>
      <c r="AH14" s="17"/>
      <c r="AI14" s="17"/>
      <c r="AJ14" s="17"/>
      <c r="AK14" s="17"/>
      <c r="AL14" s="17"/>
      <c r="AM14" s="17"/>
    </row>
    <row r="15" spans="1:39" ht="18" customHeight="1">
      <c r="A15" s="179" t="s">
        <v>73</v>
      </c>
      <c r="B15" s="181">
        <v>14858</v>
      </c>
      <c r="C15" s="181">
        <v>15503</v>
      </c>
      <c r="D15" s="181">
        <v>15936</v>
      </c>
      <c r="E15" s="181">
        <v>16736</v>
      </c>
      <c r="F15" s="181">
        <v>16599</v>
      </c>
      <c r="G15" s="181">
        <v>16482</v>
      </c>
      <c r="H15" s="181">
        <v>15842</v>
      </c>
      <c r="I15" s="181">
        <v>15579</v>
      </c>
      <c r="J15" s="181">
        <v>14924</v>
      </c>
      <c r="K15" s="181">
        <v>14306</v>
      </c>
      <c r="L15" s="181">
        <v>14018</v>
      </c>
      <c r="M15" s="181">
        <v>15269</v>
      </c>
      <c r="N15" s="181">
        <v>15819</v>
      </c>
      <c r="O15" s="181">
        <v>16883</v>
      </c>
      <c r="P15" s="181">
        <v>18177</v>
      </c>
      <c r="Q15" s="181">
        <v>19124</v>
      </c>
      <c r="R15" s="170">
        <v>17348</v>
      </c>
      <c r="S15" s="170">
        <v>20494</v>
      </c>
      <c r="T15" s="181">
        <v>18954</v>
      </c>
      <c r="U15" s="181">
        <v>21029</v>
      </c>
      <c r="V15" s="181">
        <v>21338</v>
      </c>
      <c r="W15" s="181">
        <v>19312</v>
      </c>
      <c r="X15" s="181">
        <v>17949</v>
      </c>
      <c r="Y15" s="465">
        <v>18490</v>
      </c>
      <c r="Z15" s="17"/>
      <c r="AA15" s="17"/>
      <c r="AB15" s="17"/>
      <c r="AC15" s="17"/>
      <c r="AD15" s="17"/>
      <c r="AE15" s="17"/>
      <c r="AF15" s="17"/>
      <c r="AG15" s="17"/>
      <c r="AH15" s="17"/>
      <c r="AI15" s="17"/>
      <c r="AJ15" s="17"/>
      <c r="AK15" s="17"/>
      <c r="AL15" s="17"/>
      <c r="AM15" s="17"/>
    </row>
    <row r="16" spans="1:39" ht="18" customHeight="1">
      <c r="A16" s="190" t="s">
        <v>155</v>
      </c>
      <c r="B16" s="192" t="s">
        <v>90</v>
      </c>
      <c r="C16" s="177">
        <v>343</v>
      </c>
      <c r="D16" s="177">
        <v>339</v>
      </c>
      <c r="E16" s="177">
        <v>337</v>
      </c>
      <c r="F16" s="177">
        <v>330</v>
      </c>
      <c r="G16" s="177">
        <v>321</v>
      </c>
      <c r="H16" s="177">
        <v>318</v>
      </c>
      <c r="I16" s="177">
        <v>310</v>
      </c>
      <c r="J16" s="177">
        <v>311</v>
      </c>
      <c r="K16" s="177">
        <v>307</v>
      </c>
      <c r="L16" s="177">
        <v>309</v>
      </c>
      <c r="M16" s="177">
        <v>313</v>
      </c>
      <c r="N16" s="177">
        <v>313</v>
      </c>
      <c r="O16" s="177">
        <v>311</v>
      </c>
      <c r="P16" s="177">
        <v>309</v>
      </c>
      <c r="Q16" s="177">
        <v>308</v>
      </c>
      <c r="R16" s="177">
        <v>309</v>
      </c>
      <c r="S16" s="177">
        <v>316</v>
      </c>
      <c r="T16" s="177">
        <v>367</v>
      </c>
      <c r="U16" s="177">
        <v>309</v>
      </c>
      <c r="V16" s="358">
        <v>314</v>
      </c>
      <c r="W16" s="358">
        <v>333</v>
      </c>
      <c r="X16" s="358">
        <v>323</v>
      </c>
      <c r="Y16" s="826">
        <v>307</v>
      </c>
      <c r="Z16" s="17"/>
      <c r="AA16" s="17"/>
      <c r="AB16" s="17"/>
      <c r="AC16" s="17"/>
      <c r="AD16" s="17"/>
      <c r="AE16" s="17"/>
      <c r="AF16" s="17"/>
      <c r="AG16" s="17"/>
      <c r="AH16" s="17"/>
      <c r="AI16" s="17"/>
      <c r="AJ16" s="17"/>
      <c r="AK16" s="17"/>
      <c r="AL16" s="17"/>
      <c r="AM16" s="17"/>
    </row>
    <row r="17" spans="1:39" ht="18" customHeight="1">
      <c r="A17" s="190" t="s">
        <v>156</v>
      </c>
      <c r="B17" s="192" t="s">
        <v>90</v>
      </c>
      <c r="C17" s="177">
        <v>373</v>
      </c>
      <c r="D17" s="177">
        <v>370</v>
      </c>
      <c r="E17" s="177">
        <v>371</v>
      </c>
      <c r="F17" s="177">
        <v>361</v>
      </c>
      <c r="G17" s="177">
        <v>355</v>
      </c>
      <c r="H17" s="177">
        <v>352</v>
      </c>
      <c r="I17" s="177">
        <v>343</v>
      </c>
      <c r="J17" s="177">
        <v>344</v>
      </c>
      <c r="K17" s="177">
        <v>340</v>
      </c>
      <c r="L17" s="177">
        <v>342</v>
      </c>
      <c r="M17" s="177">
        <v>344</v>
      </c>
      <c r="N17" s="177">
        <v>344</v>
      </c>
      <c r="O17" s="177">
        <v>349</v>
      </c>
      <c r="P17" s="177">
        <v>347</v>
      </c>
      <c r="Q17" s="177">
        <v>345</v>
      </c>
      <c r="R17" s="177">
        <v>347</v>
      </c>
      <c r="S17" s="177">
        <v>360</v>
      </c>
      <c r="T17" s="177">
        <v>385</v>
      </c>
      <c r="U17" s="177">
        <v>350</v>
      </c>
      <c r="V17" s="358">
        <v>358</v>
      </c>
      <c r="W17" s="358">
        <v>379</v>
      </c>
      <c r="X17" s="358">
        <v>363</v>
      </c>
      <c r="Y17" s="826">
        <v>342</v>
      </c>
      <c r="Z17" s="17"/>
      <c r="AA17" s="17"/>
      <c r="AB17" s="17"/>
      <c r="AC17" s="17"/>
      <c r="AD17" s="17"/>
      <c r="AE17" s="17"/>
      <c r="AF17" s="17"/>
      <c r="AG17" s="17"/>
      <c r="AH17" s="17"/>
      <c r="AI17" s="17"/>
      <c r="AJ17" s="17"/>
      <c r="AK17" s="17"/>
      <c r="AL17" s="17"/>
      <c r="AM17" s="17"/>
    </row>
    <row r="18" ht="12.75" customHeight="1"/>
    <row r="19" spans="1:25" s="8" customFormat="1" ht="13.5" customHeight="1">
      <c r="A19" s="8" t="s">
        <v>157</v>
      </c>
      <c r="Y19" s="930"/>
    </row>
    <row r="20" spans="1:25" s="385" customFormat="1" ht="13.5" customHeight="1">
      <c r="A20" s="1126" t="s">
        <v>785</v>
      </c>
      <c r="B20" s="1126"/>
      <c r="C20" s="1126"/>
      <c r="D20" s="1126"/>
      <c r="E20" s="1126"/>
      <c r="F20" s="1126"/>
      <c r="G20" s="1126"/>
      <c r="H20" s="1126"/>
      <c r="I20" s="1126"/>
      <c r="J20" s="1126"/>
      <c r="K20" s="1126"/>
      <c r="L20" s="1126"/>
      <c r="M20" s="1126"/>
      <c r="N20" s="1126"/>
      <c r="O20" s="1126"/>
      <c r="P20" s="1126"/>
      <c r="Q20" s="1126"/>
      <c r="R20" s="1126"/>
      <c r="S20" s="1126"/>
      <c r="T20" s="1126"/>
      <c r="U20" s="1126"/>
      <c r="V20" s="1126"/>
      <c r="W20" s="1126"/>
      <c r="X20" s="1126"/>
      <c r="Y20" s="1126"/>
    </row>
    <row r="21" spans="1:25" s="385" customFormat="1" ht="13.5" customHeight="1">
      <c r="A21" s="1126" t="s">
        <v>786</v>
      </c>
      <c r="B21" s="1126"/>
      <c r="C21" s="1126"/>
      <c r="D21" s="1126"/>
      <c r="E21" s="1126"/>
      <c r="F21" s="1126"/>
      <c r="G21" s="1126"/>
      <c r="H21" s="1126"/>
      <c r="I21" s="1126"/>
      <c r="J21" s="1126"/>
      <c r="K21" s="1126"/>
      <c r="L21" s="1126"/>
      <c r="M21" s="1126"/>
      <c r="N21" s="1126"/>
      <c r="O21" s="1126"/>
      <c r="P21" s="1126"/>
      <c r="Q21" s="1126"/>
      <c r="R21" s="1126"/>
      <c r="S21" s="1126"/>
      <c r="T21" s="1126"/>
      <c r="U21" s="1126"/>
      <c r="V21" s="1126"/>
      <c r="W21" s="1126"/>
      <c r="X21" s="1126"/>
      <c r="Y21" s="1126"/>
    </row>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sheetData>
  <sheetProtection/>
  <mergeCells count="5">
    <mergeCell ref="A1:Y1"/>
    <mergeCell ref="A3:Y3"/>
    <mergeCell ref="A4:Y4"/>
    <mergeCell ref="A20:Y20"/>
    <mergeCell ref="A21:Y21"/>
  </mergeCells>
  <printOptions horizontalCentered="1"/>
  <pageMargins left="0.7874015748031497" right="0.7874015748031497" top="0.984251968503937" bottom="0.984251968503937" header="0" footer="0"/>
  <pageSetup fitToHeight="1" fitToWidth="1" horizontalDpi="600" verticalDpi="600" orientation="landscape" scale="44"/>
  <ignoredErrors>
    <ignoredError sqref="C13:T13" formulaRange="1"/>
  </ignoredErrors>
</worksheet>
</file>

<file path=xl/worksheets/sheet16.xml><?xml version="1.0" encoding="utf-8"?>
<worksheet xmlns="http://schemas.openxmlformats.org/spreadsheetml/2006/main" xmlns:r="http://schemas.openxmlformats.org/officeDocument/2006/relationships">
  <sheetPr>
    <tabColor theme="9" tint="-0.24997000396251678"/>
    <pageSetUpPr fitToPage="1"/>
  </sheetPr>
  <dimension ref="A1:Z21"/>
  <sheetViews>
    <sheetView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U31" sqref="U31"/>
    </sheetView>
  </sheetViews>
  <sheetFormatPr defaultColWidth="11.421875" defaultRowHeight="12.75"/>
  <cols>
    <col min="1" max="1" width="32.7109375" style="0" customWidth="1"/>
    <col min="2" max="3" width="11.421875" style="0" customWidth="1"/>
    <col min="4" max="4" width="11.421875" style="288" customWidth="1"/>
    <col min="5" max="8" width="11.421875" style="31" customWidth="1"/>
    <col min="9" max="12" width="11.421875" style="9" customWidth="1"/>
    <col min="13" max="17" width="10.8515625" style="31" customWidth="1"/>
    <col min="18" max="24" width="10.8515625" style="9" customWidth="1"/>
    <col min="25" max="25" width="10.8515625" style="895" customWidth="1"/>
    <col min="26" max="26" width="10.140625" style="385" customWidth="1"/>
    <col min="27" max="29" width="10.140625" style="0" customWidth="1"/>
    <col min="30" max="32" width="10.140625" style="0" bestFit="1" customWidth="1"/>
  </cols>
  <sheetData>
    <row r="1" spans="1:25" ht="12.75">
      <c r="A1" s="1175" t="s">
        <v>584</v>
      </c>
      <c r="B1" s="1176"/>
      <c r="C1" s="1176"/>
      <c r="D1" s="1176"/>
      <c r="E1" s="1176"/>
      <c r="F1" s="1176"/>
      <c r="G1" s="1176"/>
      <c r="H1" s="1176"/>
      <c r="I1" s="1176"/>
      <c r="J1" s="1176"/>
      <c r="K1" s="1176"/>
      <c r="L1" s="1176"/>
      <c r="M1" s="1176"/>
      <c r="N1" s="1176"/>
      <c r="O1" s="1176"/>
      <c r="P1" s="1176"/>
      <c r="Q1" s="1176"/>
      <c r="R1" s="1176"/>
      <c r="S1" s="1176"/>
      <c r="T1" s="1176"/>
      <c r="U1" s="1176"/>
      <c r="V1" s="1176"/>
      <c r="W1" s="1176"/>
      <c r="X1" s="1176"/>
      <c r="Y1" s="1114"/>
    </row>
    <row r="3" spans="1:25" ht="18" customHeight="1">
      <c r="A3" s="1109" t="s">
        <v>9</v>
      </c>
      <c r="B3" s="1109"/>
      <c r="C3" s="1109"/>
      <c r="D3" s="1109"/>
      <c r="E3" s="1109"/>
      <c r="F3" s="1109"/>
      <c r="G3" s="1109"/>
      <c r="H3" s="1109"/>
      <c r="I3" s="1109"/>
      <c r="J3" s="1109"/>
      <c r="K3" s="1109"/>
      <c r="L3" s="1109"/>
      <c r="M3" s="1109"/>
      <c r="N3" s="1109"/>
      <c r="O3" s="1109"/>
      <c r="P3" s="1109"/>
      <c r="Q3" s="1109"/>
      <c r="R3" s="1109"/>
      <c r="S3" s="1109"/>
      <c r="T3" s="1109"/>
      <c r="U3" s="1109"/>
      <c r="V3" s="1109"/>
      <c r="W3" s="1109"/>
      <c r="X3" s="1109"/>
      <c r="Y3" s="1114"/>
    </row>
    <row r="4" spans="1:25" ht="18" customHeight="1">
      <c r="A4" s="1111" t="s">
        <v>778</v>
      </c>
      <c r="B4" s="1111"/>
      <c r="C4" s="1111"/>
      <c r="D4" s="1111"/>
      <c r="E4" s="1111"/>
      <c r="F4" s="1111"/>
      <c r="G4" s="1111"/>
      <c r="H4" s="1111"/>
      <c r="I4" s="1111"/>
      <c r="J4" s="1111"/>
      <c r="K4" s="1111"/>
      <c r="L4" s="1111"/>
      <c r="M4" s="1111"/>
      <c r="N4" s="1111"/>
      <c r="O4" s="1111"/>
      <c r="P4" s="1111"/>
      <c r="Q4" s="1111"/>
      <c r="R4" s="1111"/>
      <c r="S4" s="1111"/>
      <c r="T4" s="1111"/>
      <c r="U4" s="1111"/>
      <c r="V4" s="1111"/>
      <c r="W4" s="1111"/>
      <c r="X4" s="1111"/>
      <c r="Y4" s="1107"/>
    </row>
    <row r="5" spans="1:12" ht="18" customHeight="1">
      <c r="A5" s="17"/>
      <c r="B5" s="17"/>
      <c r="C5" s="17"/>
      <c r="D5" s="28"/>
      <c r="E5" s="32"/>
      <c r="F5" s="32"/>
      <c r="G5" s="32"/>
      <c r="H5" s="32"/>
      <c r="I5" s="7"/>
      <c r="J5" s="7"/>
      <c r="K5" s="7"/>
      <c r="L5" s="7"/>
    </row>
    <row r="6" spans="1:25" ht="18" customHeight="1">
      <c r="A6" s="11"/>
      <c r="B6" s="290" t="s">
        <v>107</v>
      </c>
      <c r="C6" s="290">
        <v>2001</v>
      </c>
      <c r="D6" s="290" t="s">
        <v>109</v>
      </c>
      <c r="E6" s="290" t="s">
        <v>110</v>
      </c>
      <c r="F6" s="290" t="s">
        <v>111</v>
      </c>
      <c r="G6" s="290" t="s">
        <v>112</v>
      </c>
      <c r="H6" s="290" t="s">
        <v>126</v>
      </c>
      <c r="I6" s="290">
        <v>2007</v>
      </c>
      <c r="J6" s="290">
        <v>2008</v>
      </c>
      <c r="K6" s="290">
        <v>2009</v>
      </c>
      <c r="L6" s="290">
        <v>2010</v>
      </c>
      <c r="M6" s="290">
        <v>2011</v>
      </c>
      <c r="N6" s="290">
        <v>2012</v>
      </c>
      <c r="O6" s="290">
        <v>2013</v>
      </c>
      <c r="P6" s="290">
        <v>2014</v>
      </c>
      <c r="Q6" s="290">
        <v>2015</v>
      </c>
      <c r="R6" s="290">
        <v>2016</v>
      </c>
      <c r="S6" s="290">
        <v>2017</v>
      </c>
      <c r="T6" s="290">
        <v>2018</v>
      </c>
      <c r="U6" s="290">
        <v>2019</v>
      </c>
      <c r="V6" s="290">
        <v>2020</v>
      </c>
      <c r="W6" s="290">
        <v>2021</v>
      </c>
      <c r="X6" s="290">
        <v>2022</v>
      </c>
      <c r="Y6" s="463">
        <v>2023</v>
      </c>
    </row>
    <row r="7" spans="1:25" ht="18" customHeight="1">
      <c r="A7" s="176" t="s">
        <v>551</v>
      </c>
      <c r="B7" s="177">
        <f aca="true" t="shared" si="0" ref="B7:N7">SUM(B8:B10)</f>
        <v>5070</v>
      </c>
      <c r="C7" s="177">
        <f t="shared" si="0"/>
        <v>6906</v>
      </c>
      <c r="D7" s="177">
        <f t="shared" si="0"/>
        <v>8908</v>
      </c>
      <c r="E7" s="177">
        <f t="shared" si="0"/>
        <v>9200</v>
      </c>
      <c r="F7" s="177">
        <f t="shared" si="0"/>
        <v>8382</v>
      </c>
      <c r="G7" s="177">
        <f t="shared" si="0"/>
        <v>10185</v>
      </c>
      <c r="H7" s="177">
        <f t="shared" si="0"/>
        <v>11009</v>
      </c>
      <c r="I7" s="177">
        <f t="shared" si="0"/>
        <v>9397</v>
      </c>
      <c r="J7" s="177">
        <f t="shared" si="0"/>
        <v>12139</v>
      </c>
      <c r="K7" s="177">
        <f t="shared" si="0"/>
        <v>14794</v>
      </c>
      <c r="L7" s="177">
        <f t="shared" si="0"/>
        <v>10777</v>
      </c>
      <c r="M7" s="177">
        <f t="shared" si="0"/>
        <v>12011</v>
      </c>
      <c r="N7" s="177">
        <f t="shared" si="0"/>
        <v>14072</v>
      </c>
      <c r="O7" s="177">
        <f aca="true" t="shared" si="1" ref="O7:Y7">SUM(O8:O12)</f>
        <v>11259</v>
      </c>
      <c r="P7" s="177">
        <f t="shared" si="1"/>
        <v>7473</v>
      </c>
      <c r="Q7" s="177">
        <f t="shared" si="1"/>
        <v>8013</v>
      </c>
      <c r="R7" s="177">
        <f t="shared" si="1"/>
        <v>7655</v>
      </c>
      <c r="S7" s="177">
        <f t="shared" si="1"/>
        <v>6445</v>
      </c>
      <c r="T7" s="177">
        <f>SUM(T8:T12)</f>
        <v>8849</v>
      </c>
      <c r="U7" s="177">
        <f>SUM(U8:U12)</f>
        <v>10939</v>
      </c>
      <c r="V7" s="177">
        <f>SUM(V8:V12)</f>
        <v>8331</v>
      </c>
      <c r="W7" s="177">
        <f>SUM(W8:W12)</f>
        <v>10054</v>
      </c>
      <c r="X7" s="177">
        <f>SUM(X8:X12)</f>
        <v>9789</v>
      </c>
      <c r="Y7" s="891">
        <f t="shared" si="1"/>
        <v>10889</v>
      </c>
    </row>
    <row r="8" spans="1:25" ht="18" customHeight="1">
      <c r="A8" s="193" t="s">
        <v>158</v>
      </c>
      <c r="B8" s="181">
        <v>536</v>
      </c>
      <c r="C8" s="181">
        <v>734</v>
      </c>
      <c r="D8" s="181">
        <v>713</v>
      </c>
      <c r="E8" s="181">
        <v>958</v>
      </c>
      <c r="F8" s="181">
        <v>957</v>
      </c>
      <c r="G8" s="181">
        <v>979</v>
      </c>
      <c r="H8" s="181">
        <v>1176</v>
      </c>
      <c r="I8" s="181">
        <v>673</v>
      </c>
      <c r="J8" s="181">
        <v>736</v>
      </c>
      <c r="K8" s="181">
        <v>1076</v>
      </c>
      <c r="L8" s="181">
        <v>917</v>
      </c>
      <c r="M8" s="181">
        <v>759</v>
      </c>
      <c r="N8" s="181">
        <v>1014</v>
      </c>
      <c r="O8" s="181">
        <v>938</v>
      </c>
      <c r="P8" s="170">
        <v>846</v>
      </c>
      <c r="Q8" s="170">
        <v>982</v>
      </c>
      <c r="R8" s="181">
        <v>989</v>
      </c>
      <c r="S8" s="181">
        <v>1046</v>
      </c>
      <c r="T8" s="181">
        <v>918</v>
      </c>
      <c r="U8" s="181">
        <v>1086</v>
      </c>
      <c r="V8" s="181">
        <v>921</v>
      </c>
      <c r="W8" s="181">
        <v>1091</v>
      </c>
      <c r="X8" s="181">
        <v>1166</v>
      </c>
      <c r="Y8" s="465">
        <v>1407</v>
      </c>
    </row>
    <row r="9" spans="1:25" ht="18" customHeight="1">
      <c r="A9" s="193" t="s">
        <v>159</v>
      </c>
      <c r="B9" s="181">
        <v>4534</v>
      </c>
      <c r="C9" s="181">
        <v>5501</v>
      </c>
      <c r="D9" s="181">
        <v>7168</v>
      </c>
      <c r="E9" s="181">
        <v>7009</v>
      </c>
      <c r="F9" s="181">
        <v>5605</v>
      </c>
      <c r="G9" s="181">
        <v>7437</v>
      </c>
      <c r="H9" s="181">
        <v>8233</v>
      </c>
      <c r="I9" s="181">
        <v>6801</v>
      </c>
      <c r="J9" s="181">
        <v>8884</v>
      </c>
      <c r="K9" s="181">
        <v>11900</v>
      </c>
      <c r="L9" s="181">
        <v>8309</v>
      </c>
      <c r="M9" s="170">
        <v>8822</v>
      </c>
      <c r="N9" s="170">
        <v>11482</v>
      </c>
      <c r="O9" s="170">
        <v>8181</v>
      </c>
      <c r="P9" s="170">
        <v>5509</v>
      </c>
      <c r="Q9" s="170">
        <v>5707</v>
      </c>
      <c r="R9" s="181">
        <v>5796</v>
      </c>
      <c r="S9" s="181">
        <v>4394</v>
      </c>
      <c r="T9" s="181">
        <v>6299</v>
      </c>
      <c r="U9" s="181">
        <v>6727</v>
      </c>
      <c r="V9" s="181">
        <v>5088</v>
      </c>
      <c r="W9" s="181">
        <v>6356</v>
      </c>
      <c r="X9" s="181">
        <v>6444</v>
      </c>
      <c r="Y9" s="465">
        <v>6466</v>
      </c>
    </row>
    <row r="10" spans="1:25" ht="18" customHeight="1">
      <c r="A10" s="193" t="s">
        <v>160</v>
      </c>
      <c r="B10" s="181" t="s">
        <v>90</v>
      </c>
      <c r="C10" s="181">
        <v>671</v>
      </c>
      <c r="D10" s="181">
        <v>1027</v>
      </c>
      <c r="E10" s="181">
        <v>1233</v>
      </c>
      <c r="F10" s="181">
        <v>1820</v>
      </c>
      <c r="G10" s="181">
        <v>1769</v>
      </c>
      <c r="H10" s="181">
        <v>1600</v>
      </c>
      <c r="I10" s="181">
        <v>1923</v>
      </c>
      <c r="J10" s="181">
        <v>2519</v>
      </c>
      <c r="K10" s="181">
        <v>1818</v>
      </c>
      <c r="L10" s="181">
        <v>1551</v>
      </c>
      <c r="M10" s="181">
        <v>2430</v>
      </c>
      <c r="N10" s="181">
        <v>1576</v>
      </c>
      <c r="O10" s="181">
        <v>1485</v>
      </c>
      <c r="P10" s="170">
        <v>544</v>
      </c>
      <c r="Q10" s="170">
        <v>742</v>
      </c>
      <c r="R10" s="181">
        <v>434</v>
      </c>
      <c r="S10" s="181">
        <v>451</v>
      </c>
      <c r="T10" s="181">
        <v>666</v>
      </c>
      <c r="U10" s="181">
        <v>1094</v>
      </c>
      <c r="V10" s="181">
        <v>801</v>
      </c>
      <c r="W10" s="181">
        <v>1196</v>
      </c>
      <c r="X10" s="181">
        <v>896</v>
      </c>
      <c r="Y10" s="465">
        <v>927</v>
      </c>
    </row>
    <row r="11" spans="1:25" ht="18" customHeight="1">
      <c r="A11" s="193" t="s">
        <v>523</v>
      </c>
      <c r="B11" s="181" t="s">
        <v>90</v>
      </c>
      <c r="C11" s="181" t="s">
        <v>90</v>
      </c>
      <c r="D11" s="181" t="s">
        <v>90</v>
      </c>
      <c r="E11" s="181" t="s">
        <v>90</v>
      </c>
      <c r="F11" s="181" t="s">
        <v>90</v>
      </c>
      <c r="G11" s="181" t="s">
        <v>90</v>
      </c>
      <c r="H11" s="181" t="s">
        <v>90</v>
      </c>
      <c r="I11" s="181" t="s">
        <v>90</v>
      </c>
      <c r="J11" s="181" t="s">
        <v>90</v>
      </c>
      <c r="K11" s="181" t="s">
        <v>90</v>
      </c>
      <c r="L11" s="181" t="s">
        <v>90</v>
      </c>
      <c r="M11" s="181" t="s">
        <v>90</v>
      </c>
      <c r="N11" s="181" t="s">
        <v>90</v>
      </c>
      <c r="O11" s="181" t="s">
        <v>90</v>
      </c>
      <c r="P11" s="181" t="s">
        <v>90</v>
      </c>
      <c r="Q11" s="170">
        <v>100</v>
      </c>
      <c r="R11" s="181">
        <v>72</v>
      </c>
      <c r="S11" s="181">
        <v>116</v>
      </c>
      <c r="T11" s="181">
        <v>315</v>
      </c>
      <c r="U11" s="181">
        <v>437</v>
      </c>
      <c r="V11" s="181">
        <v>529</v>
      </c>
      <c r="W11" s="181">
        <v>300</v>
      </c>
      <c r="X11" s="181">
        <v>460</v>
      </c>
      <c r="Y11" s="465">
        <v>1036</v>
      </c>
    </row>
    <row r="12" spans="1:25" ht="18" customHeight="1">
      <c r="A12" s="193" t="s">
        <v>161</v>
      </c>
      <c r="B12" s="181" t="s">
        <v>90</v>
      </c>
      <c r="C12" s="181" t="s">
        <v>90</v>
      </c>
      <c r="D12" s="181" t="s">
        <v>90</v>
      </c>
      <c r="E12" s="181" t="s">
        <v>90</v>
      </c>
      <c r="F12" s="181" t="s">
        <v>90</v>
      </c>
      <c r="G12" s="181" t="s">
        <v>90</v>
      </c>
      <c r="H12" s="181" t="s">
        <v>90</v>
      </c>
      <c r="I12" s="181" t="s">
        <v>90</v>
      </c>
      <c r="J12" s="181" t="s">
        <v>90</v>
      </c>
      <c r="K12" s="181" t="s">
        <v>90</v>
      </c>
      <c r="L12" s="181" t="s">
        <v>90</v>
      </c>
      <c r="M12" s="181" t="s">
        <v>90</v>
      </c>
      <c r="N12" s="181" t="s">
        <v>90</v>
      </c>
      <c r="O12" s="181">
        <v>655</v>
      </c>
      <c r="P12" s="170">
        <v>574</v>
      </c>
      <c r="Q12" s="170">
        <v>482</v>
      </c>
      <c r="R12" s="181">
        <v>364</v>
      </c>
      <c r="S12" s="181">
        <v>438</v>
      </c>
      <c r="T12" s="181">
        <v>651</v>
      </c>
      <c r="U12" s="181">
        <v>1595</v>
      </c>
      <c r="V12" s="181">
        <v>992</v>
      </c>
      <c r="W12" s="181">
        <v>1111</v>
      </c>
      <c r="X12" s="181">
        <v>823</v>
      </c>
      <c r="Y12" s="465">
        <v>1053</v>
      </c>
    </row>
    <row r="13" spans="1:26" s="4" customFormat="1" ht="18" customHeight="1">
      <c r="A13" s="176" t="s">
        <v>832</v>
      </c>
      <c r="B13" s="177">
        <v>105735</v>
      </c>
      <c r="C13" s="177">
        <v>150181</v>
      </c>
      <c r="D13" s="177">
        <v>228942</v>
      </c>
      <c r="E13" s="177">
        <v>240260</v>
      </c>
      <c r="F13" s="177">
        <v>250190</v>
      </c>
      <c r="G13" s="177">
        <v>244689</v>
      </c>
      <c r="H13" s="177">
        <v>233305</v>
      </c>
      <c r="I13" s="177">
        <v>250735</v>
      </c>
      <c r="J13" s="177">
        <v>319531</v>
      </c>
      <c r="K13" s="177">
        <v>304061</v>
      </c>
      <c r="L13" s="177">
        <v>315842</v>
      </c>
      <c r="M13" s="177">
        <v>496147</v>
      </c>
      <c r="N13" s="177">
        <v>566923</v>
      </c>
      <c r="O13" s="177">
        <v>388435</v>
      </c>
      <c r="P13" s="177">
        <v>276837</v>
      </c>
      <c r="Q13" s="177">
        <v>308942</v>
      </c>
      <c r="R13" s="177">
        <v>339315</v>
      </c>
      <c r="S13" s="177">
        <v>388479</v>
      </c>
      <c r="T13" s="177">
        <v>644430</v>
      </c>
      <c r="U13" s="177">
        <v>1050008</v>
      </c>
      <c r="V13" s="177">
        <v>1676579</v>
      </c>
      <c r="W13" s="177">
        <v>1684872</v>
      </c>
      <c r="X13" s="177">
        <v>1517834</v>
      </c>
      <c r="Y13" s="891">
        <v>1517834</v>
      </c>
      <c r="Z13" s="728"/>
    </row>
    <row r="14" spans="1:25" ht="12.75">
      <c r="A14" s="17"/>
      <c r="B14" s="17"/>
      <c r="C14" s="17"/>
      <c r="D14" s="28"/>
      <c r="E14" s="32"/>
      <c r="F14" s="32"/>
      <c r="G14" s="32"/>
      <c r="H14" s="32"/>
      <c r="I14" s="7"/>
      <c r="J14" s="7"/>
      <c r="K14" s="7"/>
      <c r="L14" s="7"/>
      <c r="M14"/>
      <c r="N14"/>
      <c r="O14"/>
      <c r="P14"/>
      <c r="Q14"/>
      <c r="R14" s="2"/>
      <c r="S14" s="2"/>
      <c r="T14" s="2"/>
      <c r="U14" s="2"/>
      <c r="V14" s="2"/>
      <c r="W14" s="2"/>
      <c r="X14" s="2"/>
      <c r="Y14" s="461"/>
    </row>
    <row r="15" spans="1:26" s="8" customFormat="1" ht="11.25">
      <c r="A15" s="13" t="s">
        <v>833</v>
      </c>
      <c r="B15" s="13"/>
      <c r="C15" s="13"/>
      <c r="D15" s="36"/>
      <c r="E15" s="16"/>
      <c r="F15" s="16"/>
      <c r="G15" s="16"/>
      <c r="H15" s="16"/>
      <c r="I15" s="16"/>
      <c r="J15" s="16"/>
      <c r="K15" s="16"/>
      <c r="L15" s="16"/>
      <c r="Y15" s="930"/>
      <c r="Z15" s="727"/>
    </row>
    <row r="16" spans="1:26" s="8" customFormat="1" ht="11.25">
      <c r="A16" s="13" t="s">
        <v>524</v>
      </c>
      <c r="B16" s="13"/>
      <c r="C16" s="13"/>
      <c r="D16" s="36"/>
      <c r="E16" s="16"/>
      <c r="F16" s="16"/>
      <c r="G16" s="16"/>
      <c r="H16" s="16"/>
      <c r="I16" s="16"/>
      <c r="J16" s="16"/>
      <c r="K16" s="16"/>
      <c r="L16" s="16"/>
      <c r="Y16" s="930"/>
      <c r="Z16" s="727"/>
    </row>
    <row r="17" spans="1:25" ht="12.75">
      <c r="A17" s="17"/>
      <c r="B17" s="17"/>
      <c r="C17" s="17"/>
      <c r="D17" s="28"/>
      <c r="E17" s="32"/>
      <c r="F17" s="32"/>
      <c r="G17" s="32"/>
      <c r="H17" s="32"/>
      <c r="I17" s="7"/>
      <c r="J17" s="7"/>
      <c r="K17" s="7"/>
      <c r="L17" s="7"/>
      <c r="M17"/>
      <c r="N17"/>
      <c r="O17"/>
      <c r="P17"/>
      <c r="Q17"/>
      <c r="R17" s="2"/>
      <c r="S17" s="2"/>
      <c r="T17" s="2"/>
      <c r="U17" s="2"/>
      <c r="V17" s="2"/>
      <c r="W17" s="2"/>
      <c r="X17" s="2"/>
      <c r="Y17" s="461"/>
    </row>
    <row r="18" spans="1:12" ht="12.75">
      <c r="A18" s="13" t="s">
        <v>525</v>
      </c>
      <c r="B18" s="17"/>
      <c r="C18" s="17"/>
      <c r="D18" s="28"/>
      <c r="E18" s="32"/>
      <c r="F18" s="32"/>
      <c r="G18" s="32"/>
      <c r="H18" s="32"/>
      <c r="I18" s="7"/>
      <c r="J18" s="7"/>
      <c r="K18" s="7"/>
      <c r="L18" s="7"/>
    </row>
    <row r="19" spans="1:25" ht="12.75">
      <c r="A19" s="1106" t="s">
        <v>864</v>
      </c>
      <c r="B19" s="1106"/>
      <c r="C19" s="1106"/>
      <c r="D19" s="1106"/>
      <c r="E19" s="1106"/>
      <c r="F19" s="1106"/>
      <c r="G19" s="1106"/>
      <c r="H19" s="1106"/>
      <c r="I19" s="1106"/>
      <c r="J19" s="1106"/>
      <c r="K19" s="1106"/>
      <c r="L19" s="1106"/>
      <c r="M19" s="1106"/>
      <c r="N19" s="1106"/>
      <c r="O19" s="1106"/>
      <c r="P19" s="1106"/>
      <c r="Q19" s="1106"/>
      <c r="R19" s="1106"/>
      <c r="S19" s="1106"/>
      <c r="T19" s="1106"/>
      <c r="U19" s="1106"/>
      <c r="V19" s="1106"/>
      <c r="W19" s="1106"/>
      <c r="X19" s="1106"/>
      <c r="Y19" s="1107"/>
    </row>
    <row r="20" spans="1:25" ht="12.75">
      <c r="A20" s="1106" t="s">
        <v>866</v>
      </c>
      <c r="B20" s="1106"/>
      <c r="C20" s="1106"/>
      <c r="D20" s="1106"/>
      <c r="E20" s="1106"/>
      <c r="F20" s="1106"/>
      <c r="G20" s="1106"/>
      <c r="H20" s="1106"/>
      <c r="I20" s="1106"/>
      <c r="J20" s="1106"/>
      <c r="K20" s="1106"/>
      <c r="L20" s="1106"/>
      <c r="M20" s="1106"/>
      <c r="N20" s="1106"/>
      <c r="O20" s="1106"/>
      <c r="P20" s="1106"/>
      <c r="Q20" s="1106"/>
      <c r="R20" s="1106"/>
      <c r="S20" s="1106"/>
      <c r="T20" s="1106"/>
      <c r="U20" s="1106"/>
      <c r="V20" s="1106"/>
      <c r="W20" s="1106"/>
      <c r="X20" s="1106"/>
      <c r="Y20" s="1107"/>
    </row>
    <row r="21" spans="4:25" ht="12.75">
      <c r="D21"/>
      <c r="E21"/>
      <c r="F21"/>
      <c r="G21"/>
      <c r="H21"/>
      <c r="I21"/>
      <c r="J21"/>
      <c r="K21"/>
      <c r="L21"/>
      <c r="M21"/>
      <c r="N21"/>
      <c r="O21"/>
      <c r="P21"/>
      <c r="Q21"/>
      <c r="R21" s="2"/>
      <c r="S21" s="2"/>
      <c r="T21" s="2"/>
      <c r="U21" s="2"/>
      <c r="V21" s="2"/>
      <c r="W21" s="2"/>
      <c r="X21" s="2"/>
      <c r="Y21" s="461"/>
    </row>
  </sheetData>
  <sheetProtection/>
  <mergeCells count="5">
    <mergeCell ref="A1:Y1"/>
    <mergeCell ref="A3:Y3"/>
    <mergeCell ref="A4:Y4"/>
    <mergeCell ref="A19:Y19"/>
    <mergeCell ref="A20:Y20"/>
  </mergeCells>
  <printOptions horizontalCentered="1"/>
  <pageMargins left="0.7874015748031497" right="0.7874015748031497" top="0.984251968503937" bottom="0.984251968503937" header="0" footer="0"/>
  <pageSetup fitToHeight="1" fitToWidth="1" horizontalDpi="600" verticalDpi="600" orientation="landscape" scale="44" r:id="rId1"/>
  <ignoredErrors>
    <ignoredError sqref="B6:H6" numberStoredAsText="1"/>
    <ignoredError sqref="Y7 Q7:W7" formulaRange="1"/>
  </ignoredErrors>
</worksheet>
</file>

<file path=xl/worksheets/sheet17.xml><?xml version="1.0" encoding="utf-8"?>
<worksheet xmlns="http://schemas.openxmlformats.org/spreadsheetml/2006/main" xmlns:r="http://schemas.openxmlformats.org/officeDocument/2006/relationships">
  <sheetPr>
    <tabColor theme="9" tint="-0.24997000396251678"/>
    <pageSetUpPr fitToPage="1"/>
  </sheetPr>
  <dimension ref="A1:Z30"/>
  <sheetViews>
    <sheetView zoomScale="85" zoomScaleNormal="85"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X21" sqref="X21"/>
    </sheetView>
  </sheetViews>
  <sheetFormatPr defaultColWidth="10.8515625" defaultRowHeight="12.75"/>
  <cols>
    <col min="1" max="1" width="40.8515625" style="154" customWidth="1"/>
    <col min="2" max="15" width="11.421875" style="154" customWidth="1"/>
    <col min="16" max="23" width="11.421875" style="332" customWidth="1"/>
    <col min="24" max="24" width="11.421875" style="942" customWidth="1"/>
    <col min="25" max="16384" width="10.8515625" style="154" customWidth="1"/>
  </cols>
  <sheetData>
    <row r="1" spans="1:24" ht="15">
      <c r="A1" s="1177" t="s">
        <v>585</v>
      </c>
      <c r="B1" s="1177"/>
      <c r="C1" s="1177"/>
      <c r="D1" s="1177"/>
      <c r="E1" s="1177"/>
      <c r="F1" s="1177"/>
      <c r="G1" s="1177"/>
      <c r="H1" s="1177"/>
      <c r="I1" s="1177"/>
      <c r="J1" s="1177"/>
      <c r="K1" s="1177"/>
      <c r="L1" s="1177"/>
      <c r="M1" s="1177"/>
      <c r="N1" s="1177"/>
      <c r="O1" s="1177"/>
      <c r="P1" s="1177"/>
      <c r="Q1" s="1177"/>
      <c r="R1" s="1177"/>
      <c r="S1" s="1177"/>
      <c r="T1" s="1177"/>
      <c r="U1" s="1177"/>
      <c r="V1" s="1177"/>
      <c r="W1" s="1177"/>
      <c r="X1" s="1177"/>
    </row>
    <row r="3" spans="1:26" s="257" customFormat="1" ht="18" customHeight="1">
      <c r="A3" s="1178" t="s">
        <v>688</v>
      </c>
      <c r="B3" s="1178"/>
      <c r="C3" s="1178"/>
      <c r="D3" s="1178"/>
      <c r="E3" s="1178"/>
      <c r="F3" s="1178"/>
      <c r="G3" s="1178"/>
      <c r="H3" s="1178"/>
      <c r="I3" s="1178"/>
      <c r="J3" s="1178"/>
      <c r="K3" s="1178"/>
      <c r="L3" s="1178"/>
      <c r="M3" s="1178"/>
      <c r="N3" s="1178"/>
      <c r="O3" s="1178"/>
      <c r="P3" s="1178"/>
      <c r="Q3" s="1178"/>
      <c r="R3" s="1178"/>
      <c r="S3" s="1178"/>
      <c r="T3" s="1178"/>
      <c r="U3" s="1178"/>
      <c r="V3" s="1178"/>
      <c r="W3" s="1178"/>
      <c r="X3" s="1178"/>
      <c r="Y3" s="155"/>
      <c r="Z3" s="155"/>
    </row>
    <row r="4" spans="1:26" s="257" customFormat="1" ht="18" customHeight="1">
      <c r="A4" s="1179" t="s">
        <v>863</v>
      </c>
      <c r="B4" s="1179"/>
      <c r="C4" s="1179"/>
      <c r="D4" s="1179"/>
      <c r="E4" s="1179"/>
      <c r="F4" s="1179"/>
      <c r="G4" s="1179"/>
      <c r="H4" s="1179"/>
      <c r="I4" s="1179"/>
      <c r="J4" s="1179"/>
      <c r="K4" s="1179"/>
      <c r="L4" s="1179"/>
      <c r="M4" s="1179"/>
      <c r="N4" s="1179"/>
      <c r="O4" s="1179"/>
      <c r="P4" s="1179"/>
      <c r="Q4" s="1179"/>
      <c r="R4" s="1179"/>
      <c r="S4" s="1179"/>
      <c r="T4" s="1179"/>
      <c r="U4" s="1179"/>
      <c r="V4" s="1179"/>
      <c r="W4" s="1179"/>
      <c r="X4" s="1179"/>
      <c r="Y4" s="155"/>
      <c r="Z4" s="155"/>
    </row>
    <row r="5" spans="1:26" ht="18" customHeight="1">
      <c r="A5" s="156"/>
      <c r="B5" s="157"/>
      <c r="C5" s="157"/>
      <c r="D5" s="157"/>
      <c r="E5" s="157"/>
      <c r="F5" s="157"/>
      <c r="G5" s="157"/>
      <c r="H5" s="157"/>
      <c r="I5" s="157"/>
      <c r="M5" s="155"/>
      <c r="N5" s="155"/>
      <c r="O5" s="155"/>
      <c r="P5" s="333"/>
      <c r="Q5" s="333"/>
      <c r="R5" s="333"/>
      <c r="S5" s="333"/>
      <c r="T5" s="333"/>
      <c r="U5" s="333"/>
      <c r="V5" s="333"/>
      <c r="W5" s="333"/>
      <c r="X5" s="943"/>
      <c r="Y5" s="155"/>
      <c r="Z5" s="155"/>
    </row>
    <row r="6" spans="1:26" s="159" customFormat="1" ht="18" customHeight="1">
      <c r="A6" s="158"/>
      <c r="B6" s="194">
        <v>2001</v>
      </c>
      <c r="C6" s="194">
        <v>2002</v>
      </c>
      <c r="D6" s="194">
        <v>2003</v>
      </c>
      <c r="E6" s="194">
        <v>2004</v>
      </c>
      <c r="F6" s="194">
        <v>2005</v>
      </c>
      <c r="G6" s="194">
        <v>2006</v>
      </c>
      <c r="H6" s="194">
        <v>2007</v>
      </c>
      <c r="I6" s="194">
        <v>2008</v>
      </c>
      <c r="J6" s="194">
        <v>2009</v>
      </c>
      <c r="K6" s="194">
        <v>2010</v>
      </c>
      <c r="L6" s="194">
        <v>2011</v>
      </c>
      <c r="M6" s="194">
        <v>2012</v>
      </c>
      <c r="N6" s="194">
        <v>2013</v>
      </c>
      <c r="O6" s="194">
        <v>2014</v>
      </c>
      <c r="P6" s="334">
        <v>2015</v>
      </c>
      <c r="Q6" s="334">
        <v>2016</v>
      </c>
      <c r="R6" s="334">
        <v>2017</v>
      </c>
      <c r="S6" s="334">
        <v>2018</v>
      </c>
      <c r="T6" s="334">
        <v>2019</v>
      </c>
      <c r="U6" s="334">
        <v>2020</v>
      </c>
      <c r="V6" s="334">
        <v>2021</v>
      </c>
      <c r="W6" s="334">
        <v>2022</v>
      </c>
      <c r="X6" s="944">
        <v>2023</v>
      </c>
      <c r="Y6" s="158"/>
      <c r="Z6" s="158"/>
    </row>
    <row r="7" spans="1:26" s="159" customFormat="1" ht="18" customHeight="1">
      <c r="A7" s="195" t="s">
        <v>162</v>
      </c>
      <c r="B7" s="196">
        <f>B8+B12</f>
        <v>2749</v>
      </c>
      <c r="C7" s="196">
        <f aca="true" t="shared" si="0" ref="C7:N7">C8+C12</f>
        <v>3135</v>
      </c>
      <c r="D7" s="196">
        <f t="shared" si="0"/>
        <v>3082</v>
      </c>
      <c r="E7" s="196">
        <f t="shared" si="0"/>
        <v>3009</v>
      </c>
      <c r="F7" s="196">
        <f t="shared" si="0"/>
        <v>3773</v>
      </c>
      <c r="G7" s="196">
        <f t="shared" si="0"/>
        <v>3360</v>
      </c>
      <c r="H7" s="196">
        <f t="shared" si="0"/>
        <v>3075</v>
      </c>
      <c r="I7" s="196">
        <f t="shared" si="0"/>
        <v>3018</v>
      </c>
      <c r="J7" s="196">
        <f t="shared" si="0"/>
        <v>3326</v>
      </c>
      <c r="K7" s="196">
        <f t="shared" si="0"/>
        <v>3768</v>
      </c>
      <c r="L7" s="196">
        <f t="shared" si="0"/>
        <v>4167</v>
      </c>
      <c r="M7" s="196">
        <f t="shared" si="0"/>
        <v>4286</v>
      </c>
      <c r="N7" s="196">
        <f t="shared" si="0"/>
        <v>4706</v>
      </c>
      <c r="O7" s="196">
        <f aca="true" t="shared" si="1" ref="O7:X7">O8+O12</f>
        <v>4325</v>
      </c>
      <c r="P7" s="335">
        <f t="shared" si="1"/>
        <v>5995</v>
      </c>
      <c r="Q7" s="335">
        <f t="shared" si="1"/>
        <v>6231</v>
      </c>
      <c r="R7" s="335">
        <f t="shared" si="1"/>
        <v>5931</v>
      </c>
      <c r="S7" s="335">
        <f t="shared" si="1"/>
        <v>6302</v>
      </c>
      <c r="T7" s="335">
        <f t="shared" si="1"/>
        <v>6728</v>
      </c>
      <c r="U7" s="335">
        <f>U8+U12</f>
        <v>4438</v>
      </c>
      <c r="V7" s="335">
        <f>V8+V12</f>
        <v>1931</v>
      </c>
      <c r="W7" s="335">
        <f>W8+W12</f>
        <v>2881</v>
      </c>
      <c r="X7" s="945">
        <f t="shared" si="1"/>
        <v>3719</v>
      </c>
      <c r="Y7" s="158"/>
      <c r="Z7" s="158"/>
    </row>
    <row r="8" spans="1:26" s="159" customFormat="1" ht="18" customHeight="1">
      <c r="A8" s="197" t="s">
        <v>163</v>
      </c>
      <c r="B8" s="198">
        <f>SUM(B9:B11)</f>
        <v>1833</v>
      </c>
      <c r="C8" s="198">
        <f aca="true" t="shared" si="2" ref="C8:N8">SUM(C9:C11)</f>
        <v>1962</v>
      </c>
      <c r="D8" s="198">
        <f t="shared" si="2"/>
        <v>1954</v>
      </c>
      <c r="E8" s="198">
        <f t="shared" si="2"/>
        <v>1871</v>
      </c>
      <c r="F8" s="198">
        <f t="shared" si="2"/>
        <v>2466</v>
      </c>
      <c r="G8" s="198">
        <f t="shared" si="2"/>
        <v>2205</v>
      </c>
      <c r="H8" s="198">
        <f t="shared" si="2"/>
        <v>1980</v>
      </c>
      <c r="I8" s="198">
        <f t="shared" si="2"/>
        <v>1989</v>
      </c>
      <c r="J8" s="198">
        <f t="shared" si="2"/>
        <v>2169</v>
      </c>
      <c r="K8" s="198">
        <f t="shared" si="2"/>
        <v>2329</v>
      </c>
      <c r="L8" s="198">
        <f t="shared" si="2"/>
        <v>2473</v>
      </c>
      <c r="M8" s="198">
        <f t="shared" si="2"/>
        <v>2445</v>
      </c>
      <c r="N8" s="198">
        <f t="shared" si="2"/>
        <v>2757</v>
      </c>
      <c r="O8" s="198">
        <f aca="true" t="shared" si="3" ref="O8:X8">SUM(O9:O11)</f>
        <v>2609</v>
      </c>
      <c r="P8" s="336">
        <f t="shared" si="3"/>
        <v>2588</v>
      </c>
      <c r="Q8" s="336">
        <f t="shared" si="3"/>
        <v>2482</v>
      </c>
      <c r="R8" s="336">
        <f t="shared" si="3"/>
        <v>2442</v>
      </c>
      <c r="S8" s="336">
        <f t="shared" si="3"/>
        <v>2306</v>
      </c>
      <c r="T8" s="336">
        <f t="shared" si="3"/>
        <v>2461</v>
      </c>
      <c r="U8" s="336">
        <f t="shared" si="3"/>
        <v>1513</v>
      </c>
      <c r="V8" s="336">
        <f>SUM(V9:V11)</f>
        <v>1154</v>
      </c>
      <c r="W8" s="336">
        <f>SUM(W9:W11)</f>
        <v>1872</v>
      </c>
      <c r="X8" s="946">
        <f t="shared" si="3"/>
        <v>2221</v>
      </c>
      <c r="Y8" s="158"/>
      <c r="Z8" s="158"/>
    </row>
    <row r="9" spans="1:26" s="159" customFormat="1" ht="18" customHeight="1">
      <c r="A9" s="199" t="s">
        <v>164</v>
      </c>
      <c r="B9" s="200">
        <v>1363</v>
      </c>
      <c r="C9" s="200">
        <v>1542</v>
      </c>
      <c r="D9" s="200">
        <v>1526</v>
      </c>
      <c r="E9" s="200">
        <v>1339</v>
      </c>
      <c r="F9" s="200">
        <v>1652</v>
      </c>
      <c r="G9" s="200">
        <v>1521</v>
      </c>
      <c r="H9" s="200">
        <v>1574</v>
      </c>
      <c r="I9" s="200">
        <v>1506</v>
      </c>
      <c r="J9" s="200">
        <v>1609</v>
      </c>
      <c r="K9" s="200">
        <v>1651</v>
      </c>
      <c r="L9" s="200">
        <v>1795</v>
      </c>
      <c r="M9" s="200">
        <v>1855</v>
      </c>
      <c r="N9" s="200">
        <v>1940</v>
      </c>
      <c r="O9" s="200">
        <v>1768</v>
      </c>
      <c r="P9" s="337">
        <v>1691</v>
      </c>
      <c r="Q9" s="337">
        <v>1746</v>
      </c>
      <c r="R9" s="337">
        <v>1582</v>
      </c>
      <c r="S9" s="337">
        <v>1501</v>
      </c>
      <c r="T9" s="337">
        <v>1661</v>
      </c>
      <c r="U9" s="337">
        <v>893</v>
      </c>
      <c r="V9" s="337">
        <v>454</v>
      </c>
      <c r="W9" s="337">
        <v>999</v>
      </c>
      <c r="X9" s="947">
        <v>1114</v>
      </c>
      <c r="Y9" s="158"/>
      <c r="Z9" s="158"/>
    </row>
    <row r="10" spans="1:26" s="159" customFormat="1" ht="18" customHeight="1">
      <c r="A10" s="199" t="s">
        <v>165</v>
      </c>
      <c r="B10" s="200">
        <v>168</v>
      </c>
      <c r="C10" s="200">
        <v>149</v>
      </c>
      <c r="D10" s="200">
        <v>206</v>
      </c>
      <c r="E10" s="200">
        <v>257</v>
      </c>
      <c r="F10" s="200">
        <v>233</v>
      </c>
      <c r="G10" s="200">
        <v>266</v>
      </c>
      <c r="H10" s="200">
        <v>243</v>
      </c>
      <c r="I10" s="200">
        <v>303</v>
      </c>
      <c r="J10" s="200">
        <v>446</v>
      </c>
      <c r="K10" s="200">
        <v>372</v>
      </c>
      <c r="L10" s="200">
        <v>490</v>
      </c>
      <c r="M10" s="200">
        <v>476</v>
      </c>
      <c r="N10" s="200">
        <v>529</v>
      </c>
      <c r="O10" s="200">
        <v>558</v>
      </c>
      <c r="P10" s="337">
        <v>613</v>
      </c>
      <c r="Q10" s="337">
        <v>666</v>
      </c>
      <c r="R10" s="337">
        <v>769</v>
      </c>
      <c r="S10" s="337">
        <v>734</v>
      </c>
      <c r="T10" s="337">
        <v>726</v>
      </c>
      <c r="U10" s="337">
        <v>550</v>
      </c>
      <c r="V10" s="337">
        <v>521</v>
      </c>
      <c r="W10" s="337">
        <v>661</v>
      </c>
      <c r="X10" s="947">
        <v>864</v>
      </c>
      <c r="Y10" s="160"/>
      <c r="Z10" s="160"/>
    </row>
    <row r="11" spans="1:26" s="159" customFormat="1" ht="18" customHeight="1">
      <c r="A11" s="199" t="s">
        <v>166</v>
      </c>
      <c r="B11" s="200">
        <v>302</v>
      </c>
      <c r="C11" s="200">
        <v>271</v>
      </c>
      <c r="D11" s="200">
        <v>222</v>
      </c>
      <c r="E11" s="200">
        <v>275</v>
      </c>
      <c r="F11" s="200">
        <v>581</v>
      </c>
      <c r="G11" s="200">
        <v>418</v>
      </c>
      <c r="H11" s="200">
        <v>163</v>
      </c>
      <c r="I11" s="200">
        <v>180</v>
      </c>
      <c r="J11" s="200">
        <v>114</v>
      </c>
      <c r="K11" s="200">
        <v>306</v>
      </c>
      <c r="L11" s="200">
        <v>188</v>
      </c>
      <c r="M11" s="200">
        <v>114</v>
      </c>
      <c r="N11" s="200">
        <v>288</v>
      </c>
      <c r="O11" s="200">
        <v>283</v>
      </c>
      <c r="P11" s="337">
        <v>284</v>
      </c>
      <c r="Q11" s="337">
        <v>70</v>
      </c>
      <c r="R11" s="337">
        <v>91</v>
      </c>
      <c r="S11" s="337">
        <v>71</v>
      </c>
      <c r="T11" s="337">
        <v>74</v>
      </c>
      <c r="U11" s="337">
        <v>70</v>
      </c>
      <c r="V11" s="337">
        <v>179</v>
      </c>
      <c r="W11" s="337">
        <v>212</v>
      </c>
      <c r="X11" s="947">
        <v>243</v>
      </c>
      <c r="Y11" s="158"/>
      <c r="Z11" s="158"/>
    </row>
    <row r="12" spans="1:26" s="159" customFormat="1" ht="18" customHeight="1">
      <c r="A12" s="201" t="s">
        <v>167</v>
      </c>
      <c r="B12" s="198">
        <f aca="true" t="shared" si="4" ref="B12:O12">SUM(B13:B19)</f>
        <v>916</v>
      </c>
      <c r="C12" s="198">
        <f t="shared" si="4"/>
        <v>1173</v>
      </c>
      <c r="D12" s="198">
        <f t="shared" si="4"/>
        <v>1128</v>
      </c>
      <c r="E12" s="198">
        <f t="shared" si="4"/>
        <v>1138</v>
      </c>
      <c r="F12" s="198">
        <f t="shared" si="4"/>
        <v>1307</v>
      </c>
      <c r="G12" s="198">
        <f t="shared" si="4"/>
        <v>1155</v>
      </c>
      <c r="H12" s="198">
        <f t="shared" si="4"/>
        <v>1095</v>
      </c>
      <c r="I12" s="198">
        <f t="shared" si="4"/>
        <v>1029</v>
      </c>
      <c r="J12" s="198">
        <f t="shared" si="4"/>
        <v>1157</v>
      </c>
      <c r="K12" s="198">
        <f t="shared" si="4"/>
        <v>1439</v>
      </c>
      <c r="L12" s="198">
        <f t="shared" si="4"/>
        <v>1694</v>
      </c>
      <c r="M12" s="198">
        <f t="shared" si="4"/>
        <v>1841</v>
      </c>
      <c r="N12" s="198">
        <f t="shared" si="4"/>
        <v>1949</v>
      </c>
      <c r="O12" s="198">
        <f t="shared" si="4"/>
        <v>1716</v>
      </c>
      <c r="P12" s="336">
        <f aca="true" t="shared" si="5" ref="P12:X12">SUM(P13:P26)</f>
        <v>3407</v>
      </c>
      <c r="Q12" s="336">
        <f t="shared" si="5"/>
        <v>3749</v>
      </c>
      <c r="R12" s="336">
        <f t="shared" si="5"/>
        <v>3489</v>
      </c>
      <c r="S12" s="336">
        <f t="shared" si="5"/>
        <v>3996</v>
      </c>
      <c r="T12" s="336">
        <f t="shared" si="5"/>
        <v>4267</v>
      </c>
      <c r="U12" s="336">
        <f t="shared" si="5"/>
        <v>2925</v>
      </c>
      <c r="V12" s="336">
        <f>SUM(V13:V26)</f>
        <v>777</v>
      </c>
      <c r="W12" s="336">
        <f>SUM(W13:W26)</f>
        <v>1009</v>
      </c>
      <c r="X12" s="946">
        <f t="shared" si="5"/>
        <v>1498</v>
      </c>
      <c r="Y12" s="158"/>
      <c r="Z12" s="158"/>
    </row>
    <row r="13" spans="1:26" s="159" customFormat="1" ht="18" customHeight="1">
      <c r="A13" s="199" t="s">
        <v>168</v>
      </c>
      <c r="B13" s="200">
        <v>366</v>
      </c>
      <c r="C13" s="200">
        <v>520</v>
      </c>
      <c r="D13" s="200">
        <v>394</v>
      </c>
      <c r="E13" s="200">
        <v>317</v>
      </c>
      <c r="F13" s="200">
        <v>317</v>
      </c>
      <c r="G13" s="200">
        <v>234</v>
      </c>
      <c r="H13" s="200">
        <v>286</v>
      </c>
      <c r="I13" s="200">
        <v>270</v>
      </c>
      <c r="J13" s="200">
        <v>453</v>
      </c>
      <c r="K13" s="200">
        <v>290</v>
      </c>
      <c r="L13" s="200">
        <v>325</v>
      </c>
      <c r="M13" s="200">
        <v>344</v>
      </c>
      <c r="N13" s="200">
        <v>272</v>
      </c>
      <c r="O13" s="200">
        <v>165</v>
      </c>
      <c r="P13" s="337">
        <v>209</v>
      </c>
      <c r="Q13" s="337">
        <v>142</v>
      </c>
      <c r="R13" s="337">
        <v>440</v>
      </c>
      <c r="S13" s="489">
        <v>462</v>
      </c>
      <c r="T13" s="489">
        <v>382</v>
      </c>
      <c r="U13" s="489">
        <v>219</v>
      </c>
      <c r="V13" s="489">
        <v>94</v>
      </c>
      <c r="W13" s="489">
        <v>139</v>
      </c>
      <c r="X13" s="948">
        <v>242</v>
      </c>
      <c r="Y13" s="158"/>
      <c r="Z13" s="158"/>
    </row>
    <row r="14" spans="1:26" s="159" customFormat="1" ht="18" customHeight="1">
      <c r="A14" s="199" t="s">
        <v>169</v>
      </c>
      <c r="B14" s="200">
        <v>550</v>
      </c>
      <c r="C14" s="200">
        <v>627</v>
      </c>
      <c r="D14" s="200">
        <v>690</v>
      </c>
      <c r="E14" s="200">
        <v>774</v>
      </c>
      <c r="F14" s="200">
        <v>846</v>
      </c>
      <c r="G14" s="200">
        <v>775</v>
      </c>
      <c r="H14" s="200">
        <v>695</v>
      </c>
      <c r="I14" s="200">
        <v>619</v>
      </c>
      <c r="J14" s="200">
        <v>557</v>
      </c>
      <c r="K14" s="200">
        <v>540</v>
      </c>
      <c r="L14" s="200">
        <v>654</v>
      </c>
      <c r="M14" s="200">
        <v>737</v>
      </c>
      <c r="N14" s="200">
        <v>617</v>
      </c>
      <c r="O14" s="200">
        <v>601</v>
      </c>
      <c r="P14" s="337">
        <v>489</v>
      </c>
      <c r="Q14" s="337">
        <v>741</v>
      </c>
      <c r="R14" s="337">
        <v>732</v>
      </c>
      <c r="S14" s="489">
        <v>791</v>
      </c>
      <c r="T14" s="489">
        <v>805</v>
      </c>
      <c r="U14" s="489">
        <v>503</v>
      </c>
      <c r="V14" s="489">
        <v>264</v>
      </c>
      <c r="W14" s="489">
        <v>235</v>
      </c>
      <c r="X14" s="948">
        <v>510</v>
      </c>
      <c r="Y14" s="158"/>
      <c r="Z14" s="158"/>
    </row>
    <row r="15" spans="1:26" s="159" customFormat="1" ht="18" customHeight="1">
      <c r="A15" s="199" t="s">
        <v>170</v>
      </c>
      <c r="B15" s="202" t="s">
        <v>90</v>
      </c>
      <c r="C15" s="200">
        <v>26</v>
      </c>
      <c r="D15" s="200">
        <v>44</v>
      </c>
      <c r="E15" s="200">
        <v>47</v>
      </c>
      <c r="F15" s="200">
        <v>144</v>
      </c>
      <c r="G15" s="200">
        <v>109</v>
      </c>
      <c r="H15" s="200">
        <v>84</v>
      </c>
      <c r="I15" s="200">
        <v>119</v>
      </c>
      <c r="J15" s="200">
        <v>146</v>
      </c>
      <c r="K15" s="200">
        <v>598</v>
      </c>
      <c r="L15" s="200">
        <v>712</v>
      </c>
      <c r="M15" s="200">
        <v>758</v>
      </c>
      <c r="N15" s="200">
        <v>1052</v>
      </c>
      <c r="O15" s="200">
        <v>815</v>
      </c>
      <c r="P15" s="337">
        <v>1740</v>
      </c>
      <c r="Q15" s="337">
        <v>1872</v>
      </c>
      <c r="R15" s="337">
        <v>1427</v>
      </c>
      <c r="S15" s="489">
        <v>1890</v>
      </c>
      <c r="T15" s="489">
        <v>2187</v>
      </c>
      <c r="U15" s="489">
        <v>1699</v>
      </c>
      <c r="V15" s="489">
        <v>225</v>
      </c>
      <c r="W15" s="489">
        <v>171</v>
      </c>
      <c r="X15" s="948">
        <v>123</v>
      </c>
      <c r="Y15" s="158"/>
      <c r="Z15" s="158"/>
    </row>
    <row r="16" spans="1:26" s="159" customFormat="1" ht="18" customHeight="1">
      <c r="A16" s="199" t="s">
        <v>801</v>
      </c>
      <c r="B16" s="489" t="s">
        <v>90</v>
      </c>
      <c r="C16" s="489" t="s">
        <v>90</v>
      </c>
      <c r="D16" s="489" t="s">
        <v>90</v>
      </c>
      <c r="E16" s="489" t="s">
        <v>90</v>
      </c>
      <c r="F16" s="489" t="s">
        <v>90</v>
      </c>
      <c r="G16" s="489" t="s">
        <v>90</v>
      </c>
      <c r="H16" s="489" t="s">
        <v>90</v>
      </c>
      <c r="I16" s="489" t="s">
        <v>90</v>
      </c>
      <c r="J16" s="489" t="s">
        <v>90</v>
      </c>
      <c r="K16" s="489" t="s">
        <v>90</v>
      </c>
      <c r="L16" s="489" t="s">
        <v>90</v>
      </c>
      <c r="M16" s="489" t="s">
        <v>90</v>
      </c>
      <c r="N16" s="489" t="s">
        <v>90</v>
      </c>
      <c r="O16" s="489" t="s">
        <v>90</v>
      </c>
      <c r="P16" s="489" t="s">
        <v>90</v>
      </c>
      <c r="Q16" s="489" t="s">
        <v>90</v>
      </c>
      <c r="R16" s="489" t="s">
        <v>90</v>
      </c>
      <c r="S16" s="489" t="s">
        <v>90</v>
      </c>
      <c r="T16" s="489" t="s">
        <v>90</v>
      </c>
      <c r="U16" s="489" t="s">
        <v>90</v>
      </c>
      <c r="V16" s="489" t="s">
        <v>90</v>
      </c>
      <c r="W16" s="1070">
        <v>34</v>
      </c>
      <c r="X16" s="996">
        <v>115</v>
      </c>
      <c r="Y16" s="158"/>
      <c r="Z16" s="158"/>
    </row>
    <row r="17" spans="1:26" s="159" customFormat="1" ht="18" customHeight="1">
      <c r="A17" s="199" t="s">
        <v>171</v>
      </c>
      <c r="B17" s="202" t="s">
        <v>90</v>
      </c>
      <c r="C17" s="202" t="s">
        <v>90</v>
      </c>
      <c r="D17" s="202" t="s">
        <v>90</v>
      </c>
      <c r="E17" s="202" t="s">
        <v>90</v>
      </c>
      <c r="F17" s="202" t="s">
        <v>90</v>
      </c>
      <c r="G17" s="203">
        <v>37</v>
      </c>
      <c r="H17" s="203">
        <v>30</v>
      </c>
      <c r="I17" s="203">
        <v>21</v>
      </c>
      <c r="J17" s="203">
        <v>1</v>
      </c>
      <c r="K17" s="203">
        <v>11</v>
      </c>
      <c r="L17" s="203">
        <v>3</v>
      </c>
      <c r="M17" s="203">
        <v>2</v>
      </c>
      <c r="N17" s="203">
        <v>8</v>
      </c>
      <c r="O17" s="203">
        <v>104</v>
      </c>
      <c r="P17" s="338">
        <v>163</v>
      </c>
      <c r="Q17" s="338">
        <v>273</v>
      </c>
      <c r="R17" s="338">
        <v>388</v>
      </c>
      <c r="S17" s="489">
        <v>556</v>
      </c>
      <c r="T17" s="489">
        <v>446</v>
      </c>
      <c r="U17" s="489">
        <v>335</v>
      </c>
      <c r="V17" s="489">
        <v>149</v>
      </c>
      <c r="W17" s="489">
        <v>292</v>
      </c>
      <c r="X17" s="948">
        <v>312</v>
      </c>
      <c r="Y17" s="158"/>
      <c r="Z17" s="158"/>
    </row>
    <row r="18" spans="1:26" s="159" customFormat="1" ht="18" customHeight="1">
      <c r="A18" s="199" t="s">
        <v>172</v>
      </c>
      <c r="B18" s="202" t="s">
        <v>90</v>
      </c>
      <c r="C18" s="202" t="s">
        <v>90</v>
      </c>
      <c r="D18" s="202" t="s">
        <v>90</v>
      </c>
      <c r="E18" s="202" t="s">
        <v>90</v>
      </c>
      <c r="F18" s="202" t="s">
        <v>90</v>
      </c>
      <c r="G18" s="202" t="s">
        <v>90</v>
      </c>
      <c r="H18" s="202" t="s">
        <v>90</v>
      </c>
      <c r="I18" s="202" t="s">
        <v>90</v>
      </c>
      <c r="J18" s="202" t="s">
        <v>90</v>
      </c>
      <c r="K18" s="202" t="s">
        <v>90</v>
      </c>
      <c r="L18" s="202" t="s">
        <v>90</v>
      </c>
      <c r="M18" s="202" t="s">
        <v>90</v>
      </c>
      <c r="N18" s="202" t="s">
        <v>90</v>
      </c>
      <c r="O18" s="203">
        <v>13</v>
      </c>
      <c r="P18" s="338">
        <v>568</v>
      </c>
      <c r="Q18" s="338">
        <v>584</v>
      </c>
      <c r="R18" s="338">
        <v>32</v>
      </c>
      <c r="S18" s="489">
        <v>35</v>
      </c>
      <c r="T18" s="489">
        <v>43</v>
      </c>
      <c r="U18" s="489" t="s">
        <v>90</v>
      </c>
      <c r="V18" s="489" t="s">
        <v>90</v>
      </c>
      <c r="W18" s="489" t="s">
        <v>90</v>
      </c>
      <c r="X18" s="950" t="s">
        <v>90</v>
      </c>
      <c r="Y18" s="158"/>
      <c r="Z18" s="158"/>
    </row>
    <row r="19" spans="1:26" s="159" customFormat="1" ht="18" customHeight="1">
      <c r="A19" s="199" t="s">
        <v>173</v>
      </c>
      <c r="B19" s="202" t="s">
        <v>90</v>
      </c>
      <c r="C19" s="202" t="s">
        <v>90</v>
      </c>
      <c r="D19" s="202" t="s">
        <v>90</v>
      </c>
      <c r="E19" s="202" t="s">
        <v>90</v>
      </c>
      <c r="F19" s="202" t="s">
        <v>90</v>
      </c>
      <c r="G19" s="202" t="s">
        <v>90</v>
      </c>
      <c r="H19" s="202" t="s">
        <v>90</v>
      </c>
      <c r="I19" s="202" t="s">
        <v>90</v>
      </c>
      <c r="J19" s="202" t="s">
        <v>90</v>
      </c>
      <c r="K19" s="202" t="s">
        <v>90</v>
      </c>
      <c r="L19" s="202" t="s">
        <v>90</v>
      </c>
      <c r="M19" s="202" t="s">
        <v>90</v>
      </c>
      <c r="N19" s="202" t="s">
        <v>90</v>
      </c>
      <c r="O19" s="203">
        <v>18</v>
      </c>
      <c r="P19" s="338">
        <v>55</v>
      </c>
      <c r="Q19" s="359" t="s">
        <v>90</v>
      </c>
      <c r="R19" s="359" t="s">
        <v>90</v>
      </c>
      <c r="S19" s="359" t="s">
        <v>90</v>
      </c>
      <c r="T19" s="359" t="s">
        <v>90</v>
      </c>
      <c r="U19" s="359">
        <v>57</v>
      </c>
      <c r="V19" s="359" t="s">
        <v>90</v>
      </c>
      <c r="W19" s="359">
        <v>57</v>
      </c>
      <c r="X19" s="949">
        <v>27</v>
      </c>
      <c r="Y19" s="158"/>
      <c r="Z19" s="158"/>
    </row>
    <row r="20" spans="1:26" s="159" customFormat="1" ht="18" customHeight="1">
      <c r="A20" s="199" t="s">
        <v>802</v>
      </c>
      <c r="B20" s="359" t="s">
        <v>90</v>
      </c>
      <c r="C20" s="359" t="s">
        <v>90</v>
      </c>
      <c r="D20" s="359" t="s">
        <v>90</v>
      </c>
      <c r="E20" s="359" t="s">
        <v>90</v>
      </c>
      <c r="F20" s="359" t="s">
        <v>90</v>
      </c>
      <c r="G20" s="359" t="s">
        <v>90</v>
      </c>
      <c r="H20" s="359" t="s">
        <v>90</v>
      </c>
      <c r="I20" s="359" t="s">
        <v>90</v>
      </c>
      <c r="J20" s="359" t="s">
        <v>90</v>
      </c>
      <c r="K20" s="359" t="s">
        <v>90</v>
      </c>
      <c r="L20" s="359" t="s">
        <v>90</v>
      </c>
      <c r="M20" s="359" t="s">
        <v>90</v>
      </c>
      <c r="N20" s="359" t="s">
        <v>90</v>
      </c>
      <c r="O20" s="359" t="s">
        <v>90</v>
      </c>
      <c r="P20" s="359" t="s">
        <v>90</v>
      </c>
      <c r="Q20" s="359" t="s">
        <v>90</v>
      </c>
      <c r="R20" s="359" t="s">
        <v>90</v>
      </c>
      <c r="S20" s="359" t="s">
        <v>90</v>
      </c>
      <c r="T20" s="359" t="s">
        <v>90</v>
      </c>
      <c r="U20" s="359" t="s">
        <v>90</v>
      </c>
      <c r="V20" s="359" t="s">
        <v>90</v>
      </c>
      <c r="W20" s="1071">
        <v>33</v>
      </c>
      <c r="X20" s="997" t="s">
        <v>90</v>
      </c>
      <c r="Y20" s="158"/>
      <c r="Z20" s="158"/>
    </row>
    <row r="21" spans="1:26" s="159" customFormat="1" ht="18" customHeight="1">
      <c r="A21" s="199" t="s">
        <v>526</v>
      </c>
      <c r="B21" s="202" t="s">
        <v>90</v>
      </c>
      <c r="C21" s="202" t="s">
        <v>90</v>
      </c>
      <c r="D21" s="202" t="s">
        <v>90</v>
      </c>
      <c r="E21" s="202" t="s">
        <v>90</v>
      </c>
      <c r="F21" s="202" t="s">
        <v>90</v>
      </c>
      <c r="G21" s="202" t="s">
        <v>90</v>
      </c>
      <c r="H21" s="202" t="s">
        <v>90</v>
      </c>
      <c r="I21" s="202" t="s">
        <v>90</v>
      </c>
      <c r="J21" s="202" t="s">
        <v>90</v>
      </c>
      <c r="K21" s="202" t="s">
        <v>90</v>
      </c>
      <c r="L21" s="202" t="s">
        <v>90</v>
      </c>
      <c r="M21" s="202" t="s">
        <v>90</v>
      </c>
      <c r="N21" s="202" t="s">
        <v>90</v>
      </c>
      <c r="O21" s="202" t="s">
        <v>90</v>
      </c>
      <c r="P21" s="338">
        <v>183</v>
      </c>
      <c r="Q21" s="338">
        <v>124</v>
      </c>
      <c r="R21" s="338">
        <v>470</v>
      </c>
      <c r="S21" s="489">
        <v>182</v>
      </c>
      <c r="T21" s="489">
        <v>388</v>
      </c>
      <c r="U21" s="489" t="s">
        <v>90</v>
      </c>
      <c r="V21" s="489">
        <v>6</v>
      </c>
      <c r="W21" s="752" t="s">
        <v>90</v>
      </c>
      <c r="X21" s="950" t="s">
        <v>90</v>
      </c>
      <c r="Y21" s="158"/>
      <c r="Z21" s="158"/>
    </row>
    <row r="22" spans="1:26" s="159" customFormat="1" ht="18" customHeight="1">
      <c r="A22" s="199" t="s">
        <v>549</v>
      </c>
      <c r="B22" s="202" t="s">
        <v>90</v>
      </c>
      <c r="C22" s="202" t="s">
        <v>90</v>
      </c>
      <c r="D22" s="202" t="s">
        <v>90</v>
      </c>
      <c r="E22" s="202" t="s">
        <v>90</v>
      </c>
      <c r="F22" s="202" t="s">
        <v>90</v>
      </c>
      <c r="G22" s="202" t="s">
        <v>90</v>
      </c>
      <c r="H22" s="202" t="s">
        <v>90</v>
      </c>
      <c r="I22" s="202" t="s">
        <v>90</v>
      </c>
      <c r="J22" s="202" t="s">
        <v>90</v>
      </c>
      <c r="K22" s="202" t="s">
        <v>90</v>
      </c>
      <c r="L22" s="202" t="s">
        <v>90</v>
      </c>
      <c r="M22" s="202" t="s">
        <v>90</v>
      </c>
      <c r="N22" s="202" t="s">
        <v>90</v>
      </c>
      <c r="O22" s="202" t="s">
        <v>90</v>
      </c>
      <c r="P22" s="202" t="s">
        <v>90</v>
      </c>
      <c r="Q22" s="338">
        <v>9</v>
      </c>
      <c r="R22" s="359" t="s">
        <v>90</v>
      </c>
      <c r="S22" s="489">
        <v>80</v>
      </c>
      <c r="T22" s="752" t="s">
        <v>90</v>
      </c>
      <c r="U22" s="752" t="s">
        <v>90</v>
      </c>
      <c r="V22" s="752">
        <v>39</v>
      </c>
      <c r="W22" s="752" t="s">
        <v>90</v>
      </c>
      <c r="X22" s="950">
        <v>60</v>
      </c>
      <c r="Y22" s="158"/>
      <c r="Z22" s="158"/>
    </row>
    <row r="23" spans="1:26" s="159" customFormat="1" ht="18" customHeight="1">
      <c r="A23" s="199" t="s">
        <v>550</v>
      </c>
      <c r="B23" s="202" t="s">
        <v>90</v>
      </c>
      <c r="C23" s="202" t="s">
        <v>90</v>
      </c>
      <c r="D23" s="202" t="s">
        <v>90</v>
      </c>
      <c r="E23" s="202" t="s">
        <v>90</v>
      </c>
      <c r="F23" s="202" t="s">
        <v>90</v>
      </c>
      <c r="G23" s="202" t="s">
        <v>90</v>
      </c>
      <c r="H23" s="202" t="s">
        <v>90</v>
      </c>
      <c r="I23" s="202" t="s">
        <v>90</v>
      </c>
      <c r="J23" s="202" t="s">
        <v>90</v>
      </c>
      <c r="K23" s="202" t="s">
        <v>90</v>
      </c>
      <c r="L23" s="202" t="s">
        <v>90</v>
      </c>
      <c r="M23" s="202" t="s">
        <v>90</v>
      </c>
      <c r="N23" s="202" t="s">
        <v>90</v>
      </c>
      <c r="O23" s="202" t="s">
        <v>90</v>
      </c>
      <c r="P23" s="202" t="s">
        <v>90</v>
      </c>
      <c r="Q23" s="338">
        <v>4</v>
      </c>
      <c r="R23" s="359" t="s">
        <v>90</v>
      </c>
      <c r="S23" s="359" t="s">
        <v>90</v>
      </c>
      <c r="T23" s="359">
        <v>16</v>
      </c>
      <c r="U23" s="359">
        <v>112</v>
      </c>
      <c r="V23" s="359" t="s">
        <v>90</v>
      </c>
      <c r="W23" s="359">
        <v>32</v>
      </c>
      <c r="X23" s="949">
        <v>104</v>
      </c>
      <c r="Y23" s="158"/>
      <c r="Z23" s="158"/>
    </row>
    <row r="24" spans="1:26" s="159" customFormat="1" ht="18" customHeight="1">
      <c r="A24" s="199" t="s">
        <v>740</v>
      </c>
      <c r="B24" s="202" t="s">
        <v>90</v>
      </c>
      <c r="C24" s="202" t="s">
        <v>90</v>
      </c>
      <c r="D24" s="202" t="s">
        <v>90</v>
      </c>
      <c r="E24" s="202" t="s">
        <v>90</v>
      </c>
      <c r="F24" s="202" t="s">
        <v>90</v>
      </c>
      <c r="G24" s="202" t="s">
        <v>90</v>
      </c>
      <c r="H24" s="202" t="s">
        <v>90</v>
      </c>
      <c r="I24" s="202" t="s">
        <v>90</v>
      </c>
      <c r="J24" s="202" t="s">
        <v>90</v>
      </c>
      <c r="K24" s="202" t="s">
        <v>90</v>
      </c>
      <c r="L24" s="202" t="s">
        <v>90</v>
      </c>
      <c r="M24" s="202" t="s">
        <v>90</v>
      </c>
      <c r="N24" s="202" t="s">
        <v>90</v>
      </c>
      <c r="O24" s="202" t="s">
        <v>90</v>
      </c>
      <c r="P24" s="202" t="s">
        <v>90</v>
      </c>
      <c r="Q24" s="202" t="s">
        <v>90</v>
      </c>
      <c r="R24" s="202" t="s">
        <v>90</v>
      </c>
      <c r="S24" s="202" t="s">
        <v>90</v>
      </c>
      <c r="T24" s="202" t="s">
        <v>90</v>
      </c>
      <c r="U24" s="202" t="s">
        <v>90</v>
      </c>
      <c r="V24" s="752" t="s">
        <v>90</v>
      </c>
      <c r="W24" s="752">
        <v>10</v>
      </c>
      <c r="X24" s="998">
        <v>1</v>
      </c>
      <c r="Y24" s="158"/>
      <c r="Z24" s="158"/>
    </row>
    <row r="25" spans="1:26" s="159" customFormat="1" ht="18" customHeight="1">
      <c r="A25" s="199" t="s">
        <v>741</v>
      </c>
      <c r="B25" s="202" t="s">
        <v>90</v>
      </c>
      <c r="C25" s="202" t="s">
        <v>90</v>
      </c>
      <c r="D25" s="202" t="s">
        <v>90</v>
      </c>
      <c r="E25" s="202" t="s">
        <v>90</v>
      </c>
      <c r="F25" s="202" t="s">
        <v>90</v>
      </c>
      <c r="G25" s="202" t="s">
        <v>90</v>
      </c>
      <c r="H25" s="202" t="s">
        <v>90</v>
      </c>
      <c r="I25" s="202" t="s">
        <v>90</v>
      </c>
      <c r="J25" s="202" t="s">
        <v>90</v>
      </c>
      <c r="K25" s="202" t="s">
        <v>90</v>
      </c>
      <c r="L25" s="202" t="s">
        <v>90</v>
      </c>
      <c r="M25" s="202" t="s">
        <v>90</v>
      </c>
      <c r="N25" s="202" t="s">
        <v>90</v>
      </c>
      <c r="O25" s="202" t="s">
        <v>90</v>
      </c>
      <c r="P25" s="202" t="s">
        <v>90</v>
      </c>
      <c r="Q25" s="202" t="s">
        <v>90</v>
      </c>
      <c r="R25" s="202" t="s">
        <v>90</v>
      </c>
      <c r="S25" s="202" t="s">
        <v>90</v>
      </c>
      <c r="T25" s="202" t="s">
        <v>90</v>
      </c>
      <c r="U25" s="202" t="s">
        <v>90</v>
      </c>
      <c r="V25" s="752" t="s">
        <v>90</v>
      </c>
      <c r="W25" s="752" t="s">
        <v>90</v>
      </c>
      <c r="X25" s="998">
        <v>4</v>
      </c>
      <c r="Y25" s="158"/>
      <c r="Z25" s="158"/>
    </row>
    <row r="26" spans="1:26" s="159" customFormat="1" ht="18" customHeight="1">
      <c r="A26" s="199" t="s">
        <v>742</v>
      </c>
      <c r="B26" s="202" t="s">
        <v>90</v>
      </c>
      <c r="C26" s="202" t="s">
        <v>90</v>
      </c>
      <c r="D26" s="202" t="s">
        <v>90</v>
      </c>
      <c r="E26" s="202" t="s">
        <v>90</v>
      </c>
      <c r="F26" s="202" t="s">
        <v>90</v>
      </c>
      <c r="G26" s="202" t="s">
        <v>90</v>
      </c>
      <c r="H26" s="202" t="s">
        <v>90</v>
      </c>
      <c r="I26" s="202" t="s">
        <v>90</v>
      </c>
      <c r="J26" s="202" t="s">
        <v>90</v>
      </c>
      <c r="K26" s="202" t="s">
        <v>90</v>
      </c>
      <c r="L26" s="202" t="s">
        <v>90</v>
      </c>
      <c r="M26" s="202" t="s">
        <v>90</v>
      </c>
      <c r="N26" s="202" t="s">
        <v>90</v>
      </c>
      <c r="O26" s="202" t="s">
        <v>90</v>
      </c>
      <c r="P26" s="202" t="s">
        <v>90</v>
      </c>
      <c r="Q26" s="202" t="s">
        <v>90</v>
      </c>
      <c r="R26" s="202" t="s">
        <v>90</v>
      </c>
      <c r="S26" s="202" t="s">
        <v>90</v>
      </c>
      <c r="T26" s="202" t="s">
        <v>90</v>
      </c>
      <c r="U26" s="202" t="s">
        <v>90</v>
      </c>
      <c r="V26" s="752" t="s">
        <v>90</v>
      </c>
      <c r="W26" s="752">
        <v>6</v>
      </c>
      <c r="X26" s="950" t="s">
        <v>90</v>
      </c>
      <c r="Y26" s="158"/>
      <c r="Z26" s="158"/>
    </row>
    <row r="27" spans="1:26" ht="12" customHeight="1">
      <c r="A27" s="161"/>
      <c r="B27" s="162"/>
      <c r="C27" s="162"/>
      <c r="D27" s="162"/>
      <c r="E27" s="162"/>
      <c r="F27" s="162"/>
      <c r="G27" s="162"/>
      <c r="H27" s="162"/>
      <c r="I27" s="162"/>
      <c r="J27" s="162"/>
      <c r="K27" s="162"/>
      <c r="L27" s="162"/>
      <c r="M27" s="162"/>
      <c r="N27" s="162"/>
      <c r="O27" s="162"/>
      <c r="P27" s="339"/>
      <c r="Q27" s="339"/>
      <c r="R27" s="339"/>
      <c r="S27" s="339"/>
      <c r="T27" s="339"/>
      <c r="U27" s="339"/>
      <c r="V27" s="339"/>
      <c r="W27" s="339"/>
      <c r="X27" s="951"/>
      <c r="Y27" s="155"/>
      <c r="Z27" s="155"/>
    </row>
    <row r="28" spans="1:24" s="165" customFormat="1" ht="15">
      <c r="A28" s="163" t="s">
        <v>661</v>
      </c>
      <c r="B28" s="164"/>
      <c r="C28" s="164"/>
      <c r="D28" s="164"/>
      <c r="E28" s="164"/>
      <c r="F28" s="164"/>
      <c r="G28" s="164"/>
      <c r="H28" s="164"/>
      <c r="I28" s="164"/>
      <c r="J28" s="164"/>
      <c r="K28" s="164"/>
      <c r="L28" s="164"/>
      <c r="M28" s="164"/>
      <c r="N28" s="164"/>
      <c r="O28" s="164"/>
      <c r="P28" s="340"/>
      <c r="Q28" s="340"/>
      <c r="R28" s="340"/>
      <c r="S28" s="340"/>
      <c r="T28" s="340"/>
      <c r="U28" s="340"/>
      <c r="V28" s="340"/>
      <c r="W28" s="340"/>
      <c r="X28" s="952"/>
    </row>
    <row r="29" spans="1:26" ht="12.75">
      <c r="A29" s="1106" t="s">
        <v>864</v>
      </c>
      <c r="B29" s="1106"/>
      <c r="C29" s="1106"/>
      <c r="D29" s="1106"/>
      <c r="E29" s="1106"/>
      <c r="F29" s="1106"/>
      <c r="G29" s="1106"/>
      <c r="H29" s="1106"/>
      <c r="I29" s="1106"/>
      <c r="J29" s="1106"/>
      <c r="K29" s="1106"/>
      <c r="L29" s="1106"/>
      <c r="M29" s="1106"/>
      <c r="N29" s="1106"/>
      <c r="O29" s="1106"/>
      <c r="P29" s="1106"/>
      <c r="Q29" s="1106"/>
      <c r="R29" s="1106"/>
      <c r="S29" s="1106"/>
      <c r="T29" s="1106"/>
      <c r="U29" s="1106"/>
      <c r="V29" s="1106"/>
      <c r="W29" s="1106"/>
      <c r="X29" s="1106"/>
      <c r="Z29" s="31"/>
    </row>
    <row r="30" spans="1:26" ht="12.75">
      <c r="A30" s="1106" t="s">
        <v>865</v>
      </c>
      <c r="B30" s="1106"/>
      <c r="C30" s="1106"/>
      <c r="D30" s="1106"/>
      <c r="E30" s="1106"/>
      <c r="F30" s="1106"/>
      <c r="G30" s="1106"/>
      <c r="H30" s="1106"/>
      <c r="I30" s="1106"/>
      <c r="J30" s="1106"/>
      <c r="K30" s="1106"/>
      <c r="L30" s="1106"/>
      <c r="M30" s="1106"/>
      <c r="N30" s="1106"/>
      <c r="O30" s="1106"/>
      <c r="P30" s="1106"/>
      <c r="Q30" s="1106"/>
      <c r="R30" s="1106"/>
      <c r="S30" s="1106"/>
      <c r="T30" s="1106"/>
      <c r="U30" s="1106"/>
      <c r="V30" s="1106"/>
      <c r="W30" s="1106"/>
      <c r="X30" s="1106"/>
      <c r="Z30" s="31"/>
    </row>
  </sheetData>
  <sheetProtection/>
  <mergeCells count="5">
    <mergeCell ref="A1:X1"/>
    <mergeCell ref="A3:X3"/>
    <mergeCell ref="A4:X4"/>
    <mergeCell ref="A29:X29"/>
    <mergeCell ref="A30:X30"/>
  </mergeCells>
  <printOptions/>
  <pageMargins left="0.7086614173228347" right="0.7086614173228347" top="0.7480314960629921" bottom="0.7480314960629921" header="0.31496062992125984" footer="0.31496062992125984"/>
  <pageSetup fitToHeight="1" fitToWidth="1" horizontalDpi="600" verticalDpi="600" orientation="landscape" scale="44" r:id="rId1"/>
</worksheet>
</file>

<file path=xl/worksheets/sheet18.xml><?xml version="1.0" encoding="utf-8"?>
<worksheet xmlns="http://schemas.openxmlformats.org/spreadsheetml/2006/main" xmlns:r="http://schemas.openxmlformats.org/officeDocument/2006/relationships">
  <sheetPr>
    <tabColor rgb="FF660066"/>
    <pageSetUpPr fitToPage="1"/>
  </sheetPr>
  <dimension ref="A1:AK47"/>
  <sheetViews>
    <sheetView zoomScalePageLayoutView="0" workbookViewId="0" topLeftCell="J1">
      <selection activeCell="A1" sqref="A1:X1"/>
    </sheetView>
  </sheetViews>
  <sheetFormatPr defaultColWidth="10.28125" defaultRowHeight="12.75"/>
  <cols>
    <col min="1" max="1" width="37.7109375" style="260" customWidth="1"/>
    <col min="2" max="16" width="11.28125" style="260" customWidth="1"/>
    <col min="17" max="18" width="11.28125" style="330" customWidth="1"/>
    <col min="19" max="22" width="11.28125" style="260" customWidth="1"/>
    <col min="23" max="24" width="11.28125" style="941" customWidth="1"/>
    <col min="25" max="16384" width="10.28125" style="260" customWidth="1"/>
  </cols>
  <sheetData>
    <row r="1" spans="1:24" ht="12.75">
      <c r="A1" s="1176" t="s">
        <v>174</v>
      </c>
      <c r="B1" s="1176"/>
      <c r="C1" s="1176"/>
      <c r="D1" s="1176"/>
      <c r="E1" s="1176"/>
      <c r="F1" s="1176"/>
      <c r="G1" s="1176"/>
      <c r="H1" s="1176"/>
      <c r="I1" s="1176"/>
      <c r="J1" s="1176"/>
      <c r="K1" s="1176"/>
      <c r="L1" s="1176"/>
      <c r="M1" s="1176"/>
      <c r="N1" s="1176"/>
      <c r="O1" s="1176"/>
      <c r="P1" s="1176"/>
      <c r="Q1" s="1176"/>
      <c r="R1" s="1176"/>
      <c r="S1" s="1176"/>
      <c r="T1" s="1176"/>
      <c r="U1" s="1176"/>
      <c r="V1" s="1176"/>
      <c r="W1" s="1176"/>
      <c r="X1" s="1114"/>
    </row>
    <row r="3" spans="1:37" ht="18" customHeight="1">
      <c r="A3" s="1180" t="s">
        <v>10</v>
      </c>
      <c r="B3" s="1180"/>
      <c r="C3" s="1180"/>
      <c r="D3" s="1180"/>
      <c r="E3" s="1180"/>
      <c r="F3" s="1180"/>
      <c r="G3" s="1180"/>
      <c r="H3" s="1180"/>
      <c r="I3" s="1180"/>
      <c r="J3" s="1180"/>
      <c r="K3" s="1180"/>
      <c r="L3" s="1180"/>
      <c r="M3" s="1180"/>
      <c r="N3" s="1180"/>
      <c r="O3" s="1180"/>
      <c r="P3" s="1180"/>
      <c r="Q3" s="1180"/>
      <c r="R3" s="1180"/>
      <c r="S3" s="1180"/>
      <c r="T3" s="1180"/>
      <c r="U3" s="1180"/>
      <c r="V3" s="1180"/>
      <c r="W3" s="1180"/>
      <c r="X3" s="1110"/>
      <c r="Y3" s="261"/>
      <c r="Z3" s="261"/>
      <c r="AA3" s="261"/>
      <c r="AB3" s="261"/>
      <c r="AC3" s="261"/>
      <c r="AD3" s="261"/>
      <c r="AE3" s="261"/>
      <c r="AF3" s="261"/>
      <c r="AG3" s="261"/>
      <c r="AH3" s="261"/>
      <c r="AI3" s="261"/>
      <c r="AJ3" s="261"/>
      <c r="AK3" s="261"/>
    </row>
    <row r="4" spans="1:37" ht="18" customHeight="1">
      <c r="A4" s="1181" t="s">
        <v>720</v>
      </c>
      <c r="B4" s="1181"/>
      <c r="C4" s="1181"/>
      <c r="D4" s="1181"/>
      <c r="E4" s="1181"/>
      <c r="F4" s="1181"/>
      <c r="G4" s="1181"/>
      <c r="H4" s="1181"/>
      <c r="I4" s="1181"/>
      <c r="J4" s="1181"/>
      <c r="K4" s="1181"/>
      <c r="L4" s="1181"/>
      <c r="M4" s="1181"/>
      <c r="N4" s="1181"/>
      <c r="O4" s="1181"/>
      <c r="P4" s="1181"/>
      <c r="Q4" s="1181"/>
      <c r="R4" s="1181"/>
      <c r="S4" s="1181"/>
      <c r="T4" s="1181"/>
      <c r="U4" s="1181"/>
      <c r="V4" s="1181"/>
      <c r="W4" s="1181"/>
      <c r="X4" s="1112"/>
      <c r="Y4" s="261"/>
      <c r="Z4" s="261"/>
      <c r="AA4" s="261"/>
      <c r="AB4" s="261"/>
      <c r="AC4" s="261"/>
      <c r="AD4" s="261"/>
      <c r="AE4" s="261"/>
      <c r="AF4" s="261"/>
      <c r="AG4" s="261"/>
      <c r="AH4" s="261"/>
      <c r="AI4" s="261"/>
      <c r="AJ4" s="261"/>
      <c r="AK4" s="261"/>
    </row>
    <row r="5" spans="1:37" ht="18" customHeight="1">
      <c r="A5" s="262"/>
      <c r="B5" s="262"/>
      <c r="C5" s="262"/>
      <c r="D5" s="262"/>
      <c r="E5" s="262"/>
      <c r="F5" s="262"/>
      <c r="G5" s="262"/>
      <c r="H5" s="262"/>
      <c r="I5" s="261"/>
      <c r="J5" s="261"/>
      <c r="K5" s="261"/>
      <c r="L5" s="261"/>
      <c r="M5" s="261"/>
      <c r="N5" s="261"/>
      <c r="O5" s="261"/>
      <c r="P5" s="261"/>
      <c r="Q5" s="331"/>
      <c r="R5" s="331"/>
      <c r="S5" s="261"/>
      <c r="T5" s="261"/>
      <c r="U5" s="261"/>
      <c r="V5" s="261"/>
      <c r="W5" s="938"/>
      <c r="X5" s="938"/>
      <c r="Y5" s="261"/>
      <c r="Z5" s="261"/>
      <c r="AA5" s="261"/>
      <c r="AB5" s="261"/>
      <c r="AC5" s="261"/>
      <c r="AD5" s="261"/>
      <c r="AE5" s="261"/>
      <c r="AF5" s="261"/>
      <c r="AG5" s="261"/>
      <c r="AH5" s="261"/>
      <c r="AI5" s="261"/>
      <c r="AJ5" s="261"/>
      <c r="AK5" s="261"/>
    </row>
    <row r="6" spans="1:24" s="265" customFormat="1" ht="18" customHeight="1">
      <c r="A6" s="263"/>
      <c r="B6" s="264">
        <v>2000</v>
      </c>
      <c r="C6" s="264">
        <v>2001</v>
      </c>
      <c r="D6" s="264">
        <v>2002</v>
      </c>
      <c r="E6" s="264">
        <v>2003</v>
      </c>
      <c r="F6" s="264">
        <v>2004</v>
      </c>
      <c r="G6" s="264">
        <v>2005</v>
      </c>
      <c r="H6" s="264">
        <v>2006</v>
      </c>
      <c r="I6" s="264">
        <v>2007</v>
      </c>
      <c r="J6" s="264">
        <v>2008</v>
      </c>
      <c r="K6" s="264">
        <v>2009</v>
      </c>
      <c r="L6" s="264">
        <v>2010</v>
      </c>
      <c r="M6" s="264">
        <v>2011</v>
      </c>
      <c r="N6" s="264">
        <v>2012</v>
      </c>
      <c r="O6" s="264">
        <v>2013</v>
      </c>
      <c r="P6" s="264">
        <v>2014</v>
      </c>
      <c r="Q6" s="264">
        <v>2015</v>
      </c>
      <c r="R6" s="264">
        <v>2016</v>
      </c>
      <c r="S6" s="264">
        <v>2017</v>
      </c>
      <c r="T6" s="264">
        <v>2018</v>
      </c>
      <c r="U6" s="264">
        <v>2019</v>
      </c>
      <c r="V6" s="264">
        <v>2020</v>
      </c>
      <c r="W6" s="939">
        <v>2021</v>
      </c>
      <c r="X6" s="939">
        <v>2022</v>
      </c>
    </row>
    <row r="7" spans="1:24" s="261" customFormat="1" ht="18" customHeight="1">
      <c r="A7" s="266" t="s">
        <v>175</v>
      </c>
      <c r="B7" s="181">
        <v>72707</v>
      </c>
      <c r="C7" s="181">
        <v>88316</v>
      </c>
      <c r="D7" s="181">
        <v>99637</v>
      </c>
      <c r="E7" s="181">
        <v>107925</v>
      </c>
      <c r="F7" s="181">
        <v>115145</v>
      </c>
      <c r="G7" s="181">
        <v>86548</v>
      </c>
      <c r="H7" s="181">
        <v>95919</v>
      </c>
      <c r="I7" s="181">
        <v>92271</v>
      </c>
      <c r="J7" s="181">
        <v>97824</v>
      </c>
      <c r="K7" s="181">
        <v>108006</v>
      </c>
      <c r="L7" s="181">
        <v>104866</v>
      </c>
      <c r="M7" s="181">
        <v>109825</v>
      </c>
      <c r="N7" s="181">
        <v>120821</v>
      </c>
      <c r="O7" s="181">
        <v>119916</v>
      </c>
      <c r="P7" s="170">
        <v>121761</v>
      </c>
      <c r="Q7" s="170">
        <v>119963</v>
      </c>
      <c r="R7" s="170">
        <v>148494</v>
      </c>
      <c r="S7" s="181">
        <v>185772</v>
      </c>
      <c r="T7" s="181">
        <v>157033</v>
      </c>
      <c r="U7" s="181">
        <v>157033</v>
      </c>
      <c r="V7" s="181">
        <v>143130</v>
      </c>
      <c r="W7" s="465">
        <v>146452</v>
      </c>
      <c r="X7" s="465">
        <v>175766</v>
      </c>
    </row>
    <row r="8" spans="1:24" s="261" customFormat="1" ht="18" customHeight="1">
      <c r="A8" s="266" t="s">
        <v>176</v>
      </c>
      <c r="B8" s="181">
        <v>14658</v>
      </c>
      <c r="C8" s="181">
        <v>21072</v>
      </c>
      <c r="D8" s="181">
        <v>18690</v>
      </c>
      <c r="E8" s="181">
        <v>19980</v>
      </c>
      <c r="F8" s="181">
        <v>21918</v>
      </c>
      <c r="G8" s="181">
        <v>19882</v>
      </c>
      <c r="H8" s="181">
        <v>19349</v>
      </c>
      <c r="I8" s="181">
        <v>17889</v>
      </c>
      <c r="J8" s="181">
        <v>20105</v>
      </c>
      <c r="K8" s="181">
        <v>21802</v>
      </c>
      <c r="L8" s="181">
        <v>24578</v>
      </c>
      <c r="M8" s="181">
        <v>25710</v>
      </c>
      <c r="N8" s="181">
        <v>24579</v>
      </c>
      <c r="O8" s="181">
        <v>21425</v>
      </c>
      <c r="P8" s="181">
        <v>25363</v>
      </c>
      <c r="Q8" s="170">
        <v>27974</v>
      </c>
      <c r="R8" s="170">
        <v>28228</v>
      </c>
      <c r="S8" s="181">
        <v>28377</v>
      </c>
      <c r="T8" s="181">
        <v>23620</v>
      </c>
      <c r="U8" s="181">
        <v>28264</v>
      </c>
      <c r="V8" s="181">
        <v>17114</v>
      </c>
      <c r="W8" s="465">
        <v>31995</v>
      </c>
      <c r="X8" s="465">
        <v>35496</v>
      </c>
    </row>
    <row r="9" spans="1:24" s="261" customFormat="1" ht="18" customHeight="1">
      <c r="A9" s="266" t="s">
        <v>177</v>
      </c>
      <c r="B9" s="181">
        <v>8000</v>
      </c>
      <c r="C9" s="181">
        <v>17613</v>
      </c>
      <c r="D9" s="181">
        <v>18091</v>
      </c>
      <c r="E9" s="181">
        <v>18184</v>
      </c>
      <c r="F9" s="181">
        <v>19085</v>
      </c>
      <c r="G9" s="181">
        <v>16958</v>
      </c>
      <c r="H9" s="181">
        <v>18558</v>
      </c>
      <c r="I9" s="181">
        <v>25064</v>
      </c>
      <c r="J9" s="181">
        <v>23458</v>
      </c>
      <c r="K9" s="181">
        <v>25458</v>
      </c>
      <c r="L9" s="181">
        <v>23467</v>
      </c>
      <c r="M9" s="181">
        <v>23811</v>
      </c>
      <c r="N9" s="181">
        <v>23790</v>
      </c>
      <c r="O9" s="181">
        <v>24927</v>
      </c>
      <c r="P9" s="181">
        <v>27739</v>
      </c>
      <c r="Q9" s="170">
        <v>24154</v>
      </c>
      <c r="R9" s="170">
        <v>26635</v>
      </c>
      <c r="S9" s="181">
        <v>27546</v>
      </c>
      <c r="T9" s="181">
        <v>28331</v>
      </c>
      <c r="U9" s="181">
        <v>26350</v>
      </c>
      <c r="V9" s="181">
        <v>17848</v>
      </c>
      <c r="W9" s="465">
        <v>22664</v>
      </c>
      <c r="X9" s="465">
        <v>35541</v>
      </c>
    </row>
    <row r="10" spans="1:37" ht="12.75" customHeight="1">
      <c r="A10" s="261"/>
      <c r="B10" s="267"/>
      <c r="C10" s="267"/>
      <c r="D10" s="267"/>
      <c r="E10" s="267"/>
      <c r="F10" s="267"/>
      <c r="G10" s="267"/>
      <c r="H10" s="267"/>
      <c r="I10" s="261"/>
      <c r="J10" s="261"/>
      <c r="K10" s="261"/>
      <c r="L10" s="261"/>
      <c r="M10" s="261"/>
      <c r="N10" s="261"/>
      <c r="O10" s="261"/>
      <c r="P10" s="261"/>
      <c r="Q10" s="331"/>
      <c r="R10" s="331"/>
      <c r="S10" s="261"/>
      <c r="T10" s="261"/>
      <c r="U10" s="261"/>
      <c r="V10" s="261"/>
      <c r="W10" s="938"/>
      <c r="X10" s="938"/>
      <c r="Y10" s="261"/>
      <c r="Z10" s="261"/>
      <c r="AA10" s="261"/>
      <c r="AB10" s="261"/>
      <c r="AC10" s="261"/>
      <c r="AD10" s="261"/>
      <c r="AE10" s="261"/>
      <c r="AF10" s="261"/>
      <c r="AG10" s="261"/>
      <c r="AH10" s="261"/>
      <c r="AI10" s="261"/>
      <c r="AJ10" s="261"/>
      <c r="AK10" s="261"/>
    </row>
    <row r="11" spans="1:37" s="271" customFormat="1" ht="12" customHeight="1">
      <c r="A11" s="268" t="s">
        <v>548</v>
      </c>
      <c r="B11" s="268"/>
      <c r="C11" s="268"/>
      <c r="D11" s="268"/>
      <c r="E11" s="269"/>
      <c r="F11" s="270"/>
      <c r="G11" s="270"/>
      <c r="H11" s="270"/>
      <c r="I11" s="268"/>
      <c r="J11" s="268"/>
      <c r="K11" s="268"/>
      <c r="L11" s="268"/>
      <c r="M11" s="268"/>
      <c r="N11" s="268"/>
      <c r="O11" s="268"/>
      <c r="P11" s="268"/>
      <c r="Q11" s="268"/>
      <c r="R11" s="268"/>
      <c r="S11" s="268"/>
      <c r="T11" s="268"/>
      <c r="U11" s="268"/>
      <c r="V11" s="268"/>
      <c r="W11" s="940"/>
      <c r="X11" s="940"/>
      <c r="Y11" s="268"/>
      <c r="Z11" s="268"/>
      <c r="AA11" s="268"/>
      <c r="AB11" s="268"/>
      <c r="AC11" s="268"/>
      <c r="AD11" s="268"/>
      <c r="AE11" s="268"/>
      <c r="AF11" s="268"/>
      <c r="AG11" s="268"/>
      <c r="AH11" s="268"/>
      <c r="AI11" s="268"/>
      <c r="AJ11" s="268"/>
      <c r="AK11" s="268"/>
    </row>
    <row r="12" spans="1:24" s="32" customFormat="1" ht="12.75" customHeight="1">
      <c r="A12" s="1119" t="s">
        <v>780</v>
      </c>
      <c r="B12" s="1119"/>
      <c r="C12" s="1119"/>
      <c r="D12" s="1119"/>
      <c r="E12" s="1119"/>
      <c r="F12" s="1119"/>
      <c r="G12" s="1119"/>
      <c r="H12" s="1119"/>
      <c r="I12" s="1119"/>
      <c r="J12" s="1119"/>
      <c r="K12" s="1119"/>
      <c r="L12" s="1119"/>
      <c r="M12" s="1119"/>
      <c r="N12" s="1119"/>
      <c r="O12" s="1119"/>
      <c r="P12" s="1119"/>
      <c r="Q12" s="1119"/>
      <c r="R12" s="1119"/>
      <c r="S12" s="1119"/>
      <c r="T12" s="1119"/>
      <c r="U12" s="1119"/>
      <c r="V12" s="1119"/>
      <c r="W12" s="1119"/>
      <c r="X12" s="1112"/>
    </row>
    <row r="13" spans="1:24" s="32" customFormat="1" ht="12.75" customHeight="1">
      <c r="A13" s="1106" t="s">
        <v>825</v>
      </c>
      <c r="B13" s="1106"/>
      <c r="C13" s="1106"/>
      <c r="D13" s="1106"/>
      <c r="E13" s="1106"/>
      <c r="F13" s="1106"/>
      <c r="G13" s="1106"/>
      <c r="H13" s="1106"/>
      <c r="I13" s="1106"/>
      <c r="J13" s="1106"/>
      <c r="K13" s="1106"/>
      <c r="L13" s="1106"/>
      <c r="M13" s="1106"/>
      <c r="N13" s="1106"/>
      <c r="O13" s="1106"/>
      <c r="P13" s="1106"/>
      <c r="Q13" s="1106"/>
      <c r="R13" s="1106"/>
      <c r="S13" s="1106"/>
      <c r="T13" s="1106"/>
      <c r="U13" s="1106"/>
      <c r="V13" s="1106"/>
      <c r="W13" s="1106"/>
      <c r="X13" s="1107"/>
    </row>
    <row r="14" spans="1:37" ht="12.75">
      <c r="A14" s="261"/>
      <c r="B14" s="261"/>
      <c r="C14" s="261"/>
      <c r="D14" s="261"/>
      <c r="E14" s="261"/>
      <c r="F14" s="261"/>
      <c r="G14" s="261"/>
      <c r="H14" s="261"/>
      <c r="I14" s="261"/>
      <c r="J14" s="261"/>
      <c r="K14" s="261"/>
      <c r="L14" s="261"/>
      <c r="M14" s="261"/>
      <c r="N14" s="261"/>
      <c r="O14" s="261"/>
      <c r="P14" s="261"/>
      <c r="Q14" s="331"/>
      <c r="R14" s="331"/>
      <c r="S14" s="261"/>
      <c r="T14" s="261"/>
      <c r="U14" s="261"/>
      <c r="V14" s="261"/>
      <c r="W14" s="938"/>
      <c r="X14" s="938"/>
      <c r="Y14" s="261"/>
      <c r="Z14" s="261"/>
      <c r="AA14" s="261"/>
      <c r="AB14" s="261"/>
      <c r="AC14" s="261"/>
      <c r="AD14" s="261"/>
      <c r="AE14" s="261"/>
      <c r="AF14" s="261"/>
      <c r="AG14" s="261"/>
      <c r="AH14" s="261"/>
      <c r="AI14" s="261"/>
      <c r="AJ14" s="261"/>
      <c r="AK14" s="261"/>
    </row>
    <row r="15" spans="1:37" ht="12.75">
      <c r="A15" s="261"/>
      <c r="B15" s="261"/>
      <c r="C15" s="261"/>
      <c r="D15" s="261"/>
      <c r="E15" s="261"/>
      <c r="F15" s="261"/>
      <c r="G15" s="261"/>
      <c r="H15" s="261"/>
      <c r="I15" s="261"/>
      <c r="J15" s="261"/>
      <c r="K15" s="261"/>
      <c r="L15" s="261"/>
      <c r="M15" s="261"/>
      <c r="N15" s="261"/>
      <c r="O15" s="261"/>
      <c r="P15" s="261"/>
      <c r="Q15" s="331"/>
      <c r="R15" s="331"/>
      <c r="S15" s="261"/>
      <c r="T15" s="261"/>
      <c r="U15" s="261"/>
      <c r="V15" s="261"/>
      <c r="W15" s="938"/>
      <c r="X15" s="938"/>
      <c r="Y15" s="261"/>
      <c r="Z15" s="261"/>
      <c r="AA15" s="261"/>
      <c r="AB15" s="261"/>
      <c r="AC15" s="261"/>
      <c r="AD15" s="261"/>
      <c r="AE15" s="261"/>
      <c r="AF15" s="261"/>
      <c r="AG15" s="261"/>
      <c r="AH15" s="261"/>
      <c r="AI15" s="261"/>
      <c r="AJ15" s="261"/>
      <c r="AK15" s="261"/>
    </row>
    <row r="16" spans="1:37" ht="12.75">
      <c r="A16" s="261"/>
      <c r="B16" s="261"/>
      <c r="C16" s="261"/>
      <c r="D16" s="261"/>
      <c r="E16" s="261"/>
      <c r="F16" s="261"/>
      <c r="G16" s="261"/>
      <c r="H16" s="261"/>
      <c r="I16" s="261"/>
      <c r="J16" s="261"/>
      <c r="K16" s="261"/>
      <c r="L16" s="261"/>
      <c r="M16" s="261"/>
      <c r="N16" s="261"/>
      <c r="O16" s="261"/>
      <c r="P16" s="261"/>
      <c r="Q16" s="331"/>
      <c r="R16" s="331"/>
      <c r="S16" s="261"/>
      <c r="T16" s="261"/>
      <c r="U16" s="261"/>
      <c r="V16" s="261"/>
      <c r="W16" s="938"/>
      <c r="X16" s="938"/>
      <c r="Y16" s="261"/>
      <c r="Z16" s="261"/>
      <c r="AA16" s="261"/>
      <c r="AB16" s="261"/>
      <c r="AC16" s="261"/>
      <c r="AD16" s="261"/>
      <c r="AE16" s="261"/>
      <c r="AF16" s="261"/>
      <c r="AG16" s="261"/>
      <c r="AH16" s="261"/>
      <c r="AI16" s="261"/>
      <c r="AJ16" s="261"/>
      <c r="AK16" s="261"/>
    </row>
    <row r="17" spans="1:37" ht="12.75">
      <c r="A17" s="261"/>
      <c r="B17" s="261"/>
      <c r="C17" s="261"/>
      <c r="D17" s="261"/>
      <c r="E17" s="261"/>
      <c r="F17" s="261"/>
      <c r="G17" s="261"/>
      <c r="H17" s="261"/>
      <c r="I17" s="261"/>
      <c r="J17" s="261"/>
      <c r="K17" s="261"/>
      <c r="L17" s="261"/>
      <c r="M17" s="261"/>
      <c r="N17" s="261"/>
      <c r="O17" s="261"/>
      <c r="P17" s="261"/>
      <c r="Q17" s="331"/>
      <c r="R17" s="331"/>
      <c r="S17" s="261"/>
      <c r="T17" s="261"/>
      <c r="U17" s="261"/>
      <c r="V17" s="261"/>
      <c r="W17" s="938"/>
      <c r="X17" s="938"/>
      <c r="Y17" s="261"/>
      <c r="Z17" s="261"/>
      <c r="AA17" s="261"/>
      <c r="AB17" s="261"/>
      <c r="AC17" s="261"/>
      <c r="AD17" s="261"/>
      <c r="AE17" s="261"/>
      <c r="AF17" s="261"/>
      <c r="AG17" s="261"/>
      <c r="AH17" s="261"/>
      <c r="AI17" s="261"/>
      <c r="AJ17" s="261"/>
      <c r="AK17" s="261"/>
    </row>
    <row r="18" spans="1:37" ht="12.75">
      <c r="A18" s="261"/>
      <c r="B18" s="261"/>
      <c r="C18" s="261"/>
      <c r="D18" s="261"/>
      <c r="E18" s="261"/>
      <c r="F18" s="261"/>
      <c r="G18" s="261"/>
      <c r="H18" s="261"/>
      <c r="I18" s="261"/>
      <c r="J18" s="261"/>
      <c r="K18" s="261"/>
      <c r="L18" s="261"/>
      <c r="M18" s="261"/>
      <c r="N18" s="261"/>
      <c r="O18" s="261"/>
      <c r="P18" s="261"/>
      <c r="Q18" s="331"/>
      <c r="R18" s="331"/>
      <c r="S18" s="261"/>
      <c r="T18" s="261"/>
      <c r="U18" s="261"/>
      <c r="V18" s="261"/>
      <c r="W18" s="938"/>
      <c r="X18" s="938"/>
      <c r="Y18" s="261"/>
      <c r="Z18" s="261"/>
      <c r="AA18" s="261"/>
      <c r="AB18" s="261"/>
      <c r="AC18" s="261"/>
      <c r="AD18" s="261"/>
      <c r="AE18" s="261"/>
      <c r="AF18" s="261"/>
      <c r="AG18" s="261"/>
      <c r="AH18" s="261"/>
      <c r="AI18" s="261"/>
      <c r="AJ18" s="261"/>
      <c r="AK18" s="261"/>
    </row>
    <row r="19" spans="1:37" ht="12.75">
      <c r="A19" s="261"/>
      <c r="B19" s="261"/>
      <c r="C19" s="261"/>
      <c r="D19" s="261"/>
      <c r="E19" s="261"/>
      <c r="F19" s="261"/>
      <c r="G19" s="261"/>
      <c r="H19" s="261"/>
      <c r="I19" s="261"/>
      <c r="J19" s="261"/>
      <c r="K19" s="261"/>
      <c r="L19" s="261"/>
      <c r="M19" s="261"/>
      <c r="N19" s="261"/>
      <c r="O19" s="261"/>
      <c r="P19" s="261"/>
      <c r="Q19" s="331"/>
      <c r="R19" s="331"/>
      <c r="S19" s="261"/>
      <c r="T19" s="261"/>
      <c r="U19" s="261"/>
      <c r="V19" s="261"/>
      <c r="W19" s="938"/>
      <c r="X19" s="938"/>
      <c r="Y19" s="261"/>
      <c r="Z19" s="261"/>
      <c r="AA19" s="261"/>
      <c r="AB19" s="261"/>
      <c r="AC19" s="261"/>
      <c r="AD19" s="261"/>
      <c r="AE19" s="261"/>
      <c r="AF19" s="261"/>
      <c r="AG19" s="261"/>
      <c r="AH19" s="261"/>
      <c r="AI19" s="261"/>
      <c r="AJ19" s="261"/>
      <c r="AK19" s="261"/>
    </row>
    <row r="20" spans="1:37" ht="12.75">
      <c r="A20" s="261"/>
      <c r="B20" s="261"/>
      <c r="C20" s="261"/>
      <c r="D20" s="261"/>
      <c r="E20" s="261"/>
      <c r="F20" s="261"/>
      <c r="G20" s="261"/>
      <c r="H20" s="261"/>
      <c r="I20" s="261"/>
      <c r="J20" s="261"/>
      <c r="K20" s="261"/>
      <c r="L20" s="261"/>
      <c r="M20" s="261"/>
      <c r="N20" s="261"/>
      <c r="O20" s="261"/>
      <c r="P20" s="261"/>
      <c r="Q20" s="331"/>
      <c r="R20" s="331"/>
      <c r="S20" s="261"/>
      <c r="T20" s="261"/>
      <c r="U20" s="261"/>
      <c r="V20" s="261"/>
      <c r="W20" s="938"/>
      <c r="X20" s="938"/>
      <c r="Y20" s="261"/>
      <c r="Z20" s="261"/>
      <c r="AA20" s="261"/>
      <c r="AB20" s="261"/>
      <c r="AC20" s="261"/>
      <c r="AD20" s="261"/>
      <c r="AE20" s="261"/>
      <c r="AF20" s="261"/>
      <c r="AG20" s="261"/>
      <c r="AH20" s="261"/>
      <c r="AI20" s="261"/>
      <c r="AJ20" s="261"/>
      <c r="AK20" s="261"/>
    </row>
    <row r="21" spans="1:37" ht="12.75">
      <c r="A21" s="261"/>
      <c r="B21" s="261"/>
      <c r="C21" s="261"/>
      <c r="D21" s="261"/>
      <c r="E21" s="261"/>
      <c r="F21" s="261"/>
      <c r="G21" s="261"/>
      <c r="H21" s="261"/>
      <c r="I21" s="261"/>
      <c r="J21" s="261"/>
      <c r="K21" s="261"/>
      <c r="L21" s="261"/>
      <c r="M21" s="261"/>
      <c r="N21" s="261"/>
      <c r="O21" s="261"/>
      <c r="P21" s="261"/>
      <c r="Q21" s="331"/>
      <c r="R21" s="331"/>
      <c r="S21" s="261"/>
      <c r="T21" s="261"/>
      <c r="U21" s="261"/>
      <c r="V21" s="261"/>
      <c r="W21" s="938"/>
      <c r="X21" s="938"/>
      <c r="Y21" s="261"/>
      <c r="Z21" s="261"/>
      <c r="AA21" s="261"/>
      <c r="AB21" s="261"/>
      <c r="AC21" s="261"/>
      <c r="AD21" s="261"/>
      <c r="AE21" s="261"/>
      <c r="AF21" s="261"/>
      <c r="AG21" s="261"/>
      <c r="AH21" s="261"/>
      <c r="AI21" s="261"/>
      <c r="AJ21" s="261"/>
      <c r="AK21" s="261"/>
    </row>
    <row r="22" spans="1:37" ht="12.75">
      <c r="A22" s="261"/>
      <c r="B22" s="261"/>
      <c r="C22" s="261"/>
      <c r="D22" s="261"/>
      <c r="E22" s="261"/>
      <c r="F22" s="261"/>
      <c r="G22" s="261"/>
      <c r="H22" s="261"/>
      <c r="I22" s="261"/>
      <c r="J22" s="261"/>
      <c r="K22" s="261"/>
      <c r="L22" s="261"/>
      <c r="M22" s="261"/>
      <c r="N22" s="261"/>
      <c r="O22" s="261"/>
      <c r="P22" s="261"/>
      <c r="Q22" s="331"/>
      <c r="R22" s="331"/>
      <c r="S22" s="261"/>
      <c r="T22" s="261"/>
      <c r="U22" s="261"/>
      <c r="V22" s="261"/>
      <c r="W22" s="938"/>
      <c r="X22" s="938"/>
      <c r="Y22" s="261"/>
      <c r="Z22" s="261"/>
      <c r="AA22" s="261"/>
      <c r="AB22" s="261"/>
      <c r="AC22" s="261"/>
      <c r="AD22" s="261"/>
      <c r="AE22" s="261"/>
      <c r="AF22" s="261"/>
      <c r="AG22" s="261"/>
      <c r="AH22" s="261"/>
      <c r="AI22" s="261"/>
      <c r="AJ22" s="261"/>
      <c r="AK22" s="261"/>
    </row>
    <row r="23" spans="1:37" ht="12.75">
      <c r="A23" s="261"/>
      <c r="B23" s="261"/>
      <c r="C23" s="261"/>
      <c r="D23" s="261"/>
      <c r="E23" s="261"/>
      <c r="F23" s="261"/>
      <c r="G23" s="261"/>
      <c r="H23" s="261"/>
      <c r="I23" s="261"/>
      <c r="J23" s="261"/>
      <c r="K23" s="261"/>
      <c r="L23" s="261"/>
      <c r="M23" s="261"/>
      <c r="N23" s="261"/>
      <c r="O23" s="261"/>
      <c r="P23" s="261"/>
      <c r="Q23" s="331"/>
      <c r="R23" s="331"/>
      <c r="S23" s="261"/>
      <c r="T23" s="261"/>
      <c r="U23" s="261"/>
      <c r="V23" s="261"/>
      <c r="W23" s="938"/>
      <c r="X23" s="938"/>
      <c r="Y23" s="261"/>
      <c r="Z23" s="261"/>
      <c r="AA23" s="261"/>
      <c r="AB23" s="261"/>
      <c r="AC23" s="261"/>
      <c r="AD23" s="261"/>
      <c r="AE23" s="261"/>
      <c r="AF23" s="261"/>
      <c r="AG23" s="261"/>
      <c r="AH23" s="261"/>
      <c r="AI23" s="261"/>
      <c r="AJ23" s="261"/>
      <c r="AK23" s="261"/>
    </row>
    <row r="24" spans="1:37" ht="12.75">
      <c r="A24" s="261"/>
      <c r="B24" s="261"/>
      <c r="C24" s="261"/>
      <c r="D24" s="261"/>
      <c r="E24" s="261"/>
      <c r="F24" s="261"/>
      <c r="G24" s="261"/>
      <c r="H24" s="261"/>
      <c r="I24" s="261"/>
      <c r="J24" s="261"/>
      <c r="K24" s="261"/>
      <c r="L24" s="261"/>
      <c r="M24" s="261"/>
      <c r="N24" s="261"/>
      <c r="O24" s="261"/>
      <c r="P24" s="261"/>
      <c r="Q24" s="331"/>
      <c r="R24" s="331"/>
      <c r="S24" s="261"/>
      <c r="T24" s="261"/>
      <c r="U24" s="261"/>
      <c r="V24" s="261"/>
      <c r="W24" s="938"/>
      <c r="X24" s="938"/>
      <c r="Y24" s="261"/>
      <c r="Z24" s="261"/>
      <c r="AA24" s="261"/>
      <c r="AB24" s="261"/>
      <c r="AC24" s="261"/>
      <c r="AD24" s="261"/>
      <c r="AE24" s="261"/>
      <c r="AF24" s="261"/>
      <c r="AG24" s="261"/>
      <c r="AH24" s="261"/>
      <c r="AI24" s="261"/>
      <c r="AJ24" s="261"/>
      <c r="AK24" s="261"/>
    </row>
    <row r="25" spans="1:37" ht="12.75">
      <c r="A25" s="261"/>
      <c r="B25" s="261"/>
      <c r="C25" s="261"/>
      <c r="D25" s="261"/>
      <c r="E25" s="261"/>
      <c r="F25" s="261"/>
      <c r="G25" s="261"/>
      <c r="H25" s="261"/>
      <c r="I25" s="261"/>
      <c r="J25" s="261"/>
      <c r="K25" s="261"/>
      <c r="L25" s="261"/>
      <c r="M25" s="261"/>
      <c r="N25" s="261"/>
      <c r="O25" s="261"/>
      <c r="P25" s="261"/>
      <c r="Q25" s="331"/>
      <c r="R25" s="331"/>
      <c r="S25" s="261"/>
      <c r="T25" s="261"/>
      <c r="U25" s="261"/>
      <c r="V25" s="261"/>
      <c r="W25" s="938"/>
      <c r="X25" s="938"/>
      <c r="Y25" s="261"/>
      <c r="Z25" s="261"/>
      <c r="AA25" s="261"/>
      <c r="AB25" s="261"/>
      <c r="AC25" s="261"/>
      <c r="AD25" s="261"/>
      <c r="AE25" s="261"/>
      <c r="AF25" s="261"/>
      <c r="AG25" s="261"/>
      <c r="AH25" s="261"/>
      <c r="AI25" s="261"/>
      <c r="AJ25" s="261"/>
      <c r="AK25" s="261"/>
    </row>
    <row r="26" spans="1:37" ht="12.75">
      <c r="A26" s="261"/>
      <c r="B26" s="261"/>
      <c r="C26" s="261"/>
      <c r="D26" s="261"/>
      <c r="E26" s="261"/>
      <c r="F26" s="261"/>
      <c r="G26" s="261"/>
      <c r="H26" s="261"/>
      <c r="I26" s="261"/>
      <c r="J26" s="261"/>
      <c r="K26" s="261"/>
      <c r="L26" s="261"/>
      <c r="M26" s="261"/>
      <c r="N26" s="261"/>
      <c r="O26" s="261"/>
      <c r="P26" s="261"/>
      <c r="Q26" s="331"/>
      <c r="R26" s="331"/>
      <c r="S26" s="261"/>
      <c r="T26" s="261"/>
      <c r="U26" s="261"/>
      <c r="V26" s="261"/>
      <c r="W26" s="938"/>
      <c r="X26" s="938"/>
      <c r="Y26" s="261"/>
      <c r="Z26" s="261"/>
      <c r="AA26" s="261"/>
      <c r="AB26" s="261"/>
      <c r="AC26" s="261"/>
      <c r="AD26" s="261"/>
      <c r="AE26" s="261"/>
      <c r="AF26" s="261"/>
      <c r="AG26" s="261"/>
      <c r="AH26" s="261"/>
      <c r="AI26" s="261"/>
      <c r="AJ26" s="261"/>
      <c r="AK26" s="261"/>
    </row>
    <row r="27" spans="1:37" ht="12.75">
      <c r="A27" s="261"/>
      <c r="B27" s="261"/>
      <c r="C27" s="261"/>
      <c r="D27" s="261"/>
      <c r="E27" s="261"/>
      <c r="F27" s="261"/>
      <c r="G27" s="261"/>
      <c r="H27" s="261"/>
      <c r="I27" s="261"/>
      <c r="J27" s="261"/>
      <c r="K27" s="261"/>
      <c r="L27" s="261"/>
      <c r="M27" s="261"/>
      <c r="N27" s="261"/>
      <c r="O27" s="261"/>
      <c r="P27" s="261"/>
      <c r="Q27" s="331"/>
      <c r="R27" s="331"/>
      <c r="S27" s="261"/>
      <c r="T27" s="261"/>
      <c r="U27" s="261"/>
      <c r="V27" s="261"/>
      <c r="W27" s="938"/>
      <c r="X27" s="938"/>
      <c r="Y27" s="261"/>
      <c r="Z27" s="261"/>
      <c r="AA27" s="261"/>
      <c r="AB27" s="261"/>
      <c r="AC27" s="261"/>
      <c r="AD27" s="261"/>
      <c r="AE27" s="261"/>
      <c r="AF27" s="261"/>
      <c r="AG27" s="261"/>
      <c r="AH27" s="261"/>
      <c r="AI27" s="261"/>
      <c r="AJ27" s="261"/>
      <c r="AK27" s="261"/>
    </row>
    <row r="28" spans="1:37" ht="12.75">
      <c r="A28" s="261"/>
      <c r="B28" s="261"/>
      <c r="C28" s="261"/>
      <c r="D28" s="261"/>
      <c r="E28" s="261"/>
      <c r="F28" s="261"/>
      <c r="G28" s="261"/>
      <c r="H28" s="261"/>
      <c r="I28" s="261"/>
      <c r="J28" s="261"/>
      <c r="K28" s="261"/>
      <c r="L28" s="261"/>
      <c r="M28" s="261"/>
      <c r="N28" s="261"/>
      <c r="O28" s="261"/>
      <c r="P28" s="261"/>
      <c r="Q28" s="331"/>
      <c r="R28" s="331"/>
      <c r="S28" s="261"/>
      <c r="T28" s="261"/>
      <c r="U28" s="261"/>
      <c r="V28" s="261"/>
      <c r="W28" s="938"/>
      <c r="X28" s="938"/>
      <c r="Y28" s="261"/>
      <c r="Z28" s="261"/>
      <c r="AA28" s="261"/>
      <c r="AB28" s="261"/>
      <c r="AC28" s="261"/>
      <c r="AD28" s="261"/>
      <c r="AE28" s="261"/>
      <c r="AF28" s="261"/>
      <c r="AG28" s="261"/>
      <c r="AH28" s="261"/>
      <c r="AI28" s="261"/>
      <c r="AJ28" s="261"/>
      <c r="AK28" s="261"/>
    </row>
    <row r="29" spans="1:37" ht="12.75">
      <c r="A29" s="261"/>
      <c r="B29" s="261"/>
      <c r="C29" s="261"/>
      <c r="D29" s="261"/>
      <c r="E29" s="261"/>
      <c r="F29" s="261"/>
      <c r="G29" s="261"/>
      <c r="H29" s="261"/>
      <c r="I29" s="261"/>
      <c r="J29" s="261"/>
      <c r="K29" s="261"/>
      <c r="L29" s="261"/>
      <c r="M29" s="261"/>
      <c r="N29" s="261"/>
      <c r="O29" s="261"/>
      <c r="P29" s="261"/>
      <c r="Q29" s="331"/>
      <c r="R29" s="331"/>
      <c r="S29" s="261"/>
      <c r="T29" s="261"/>
      <c r="U29" s="261"/>
      <c r="V29" s="261"/>
      <c r="W29" s="938"/>
      <c r="X29" s="938"/>
      <c r="Y29" s="261"/>
      <c r="Z29" s="261"/>
      <c r="AA29" s="261"/>
      <c r="AB29" s="261"/>
      <c r="AC29" s="261"/>
      <c r="AD29" s="261"/>
      <c r="AE29" s="261"/>
      <c r="AF29" s="261"/>
      <c r="AG29" s="261"/>
      <c r="AH29" s="261"/>
      <c r="AI29" s="261"/>
      <c r="AJ29" s="261"/>
      <c r="AK29" s="261"/>
    </row>
    <row r="30" spans="1:37" ht="12.75">
      <c r="A30" s="261"/>
      <c r="B30" s="261"/>
      <c r="C30" s="261"/>
      <c r="D30" s="261"/>
      <c r="E30" s="261"/>
      <c r="F30" s="261"/>
      <c r="G30" s="261"/>
      <c r="H30" s="261"/>
      <c r="I30" s="261"/>
      <c r="J30" s="261"/>
      <c r="K30" s="261"/>
      <c r="L30" s="261"/>
      <c r="M30" s="261"/>
      <c r="N30" s="261"/>
      <c r="O30" s="261"/>
      <c r="P30" s="261"/>
      <c r="Q30" s="331"/>
      <c r="R30" s="331"/>
      <c r="S30" s="261"/>
      <c r="T30" s="261"/>
      <c r="U30" s="261"/>
      <c r="V30" s="261"/>
      <c r="W30" s="938"/>
      <c r="X30" s="938"/>
      <c r="Y30" s="261"/>
      <c r="Z30" s="261"/>
      <c r="AA30" s="261"/>
      <c r="AB30" s="261"/>
      <c r="AC30" s="261"/>
      <c r="AD30" s="261"/>
      <c r="AE30" s="261"/>
      <c r="AF30" s="261"/>
      <c r="AG30" s="261"/>
      <c r="AH30" s="261"/>
      <c r="AI30" s="261"/>
      <c r="AJ30" s="261"/>
      <c r="AK30" s="261"/>
    </row>
    <row r="31" spans="1:37" ht="12.75">
      <c r="A31" s="261"/>
      <c r="B31" s="261"/>
      <c r="C31" s="261"/>
      <c r="D31" s="261"/>
      <c r="E31" s="261"/>
      <c r="F31" s="261"/>
      <c r="G31" s="261"/>
      <c r="H31" s="261"/>
      <c r="I31" s="261"/>
      <c r="J31" s="261"/>
      <c r="K31" s="261"/>
      <c r="L31" s="261"/>
      <c r="M31" s="261"/>
      <c r="N31" s="261"/>
      <c r="O31" s="261"/>
      <c r="P31" s="261"/>
      <c r="Q31" s="331"/>
      <c r="R31" s="331"/>
      <c r="S31" s="261"/>
      <c r="T31" s="261"/>
      <c r="U31" s="261"/>
      <c r="V31" s="261"/>
      <c r="W31" s="938"/>
      <c r="X31" s="938"/>
      <c r="Y31" s="261"/>
      <c r="Z31" s="261"/>
      <c r="AA31" s="261"/>
      <c r="AB31" s="261"/>
      <c r="AC31" s="261"/>
      <c r="AD31" s="261"/>
      <c r="AE31" s="261"/>
      <c r="AF31" s="261"/>
      <c r="AG31" s="261"/>
      <c r="AH31" s="261"/>
      <c r="AI31" s="261"/>
      <c r="AJ31" s="261"/>
      <c r="AK31" s="261"/>
    </row>
    <row r="32" spans="1:37" ht="12.75">
      <c r="A32" s="261"/>
      <c r="B32" s="261"/>
      <c r="C32" s="261"/>
      <c r="D32" s="261"/>
      <c r="E32" s="261"/>
      <c r="F32" s="261"/>
      <c r="G32" s="261"/>
      <c r="H32" s="261"/>
      <c r="I32" s="261"/>
      <c r="J32" s="261"/>
      <c r="K32" s="261"/>
      <c r="L32" s="261"/>
      <c r="M32" s="261"/>
      <c r="N32" s="261"/>
      <c r="O32" s="261"/>
      <c r="P32" s="261"/>
      <c r="Q32" s="331"/>
      <c r="R32" s="331"/>
      <c r="S32" s="261"/>
      <c r="T32" s="261"/>
      <c r="U32" s="261"/>
      <c r="V32" s="261"/>
      <c r="W32" s="938"/>
      <c r="X32" s="938"/>
      <c r="Y32" s="261"/>
      <c r="Z32" s="261"/>
      <c r="AA32" s="261"/>
      <c r="AB32" s="261"/>
      <c r="AC32" s="261"/>
      <c r="AD32" s="261"/>
      <c r="AE32" s="261"/>
      <c r="AF32" s="261"/>
      <c r="AG32" s="261"/>
      <c r="AH32" s="261"/>
      <c r="AI32" s="261"/>
      <c r="AJ32" s="261"/>
      <c r="AK32" s="261"/>
    </row>
    <row r="33" spans="1:37" ht="12.75">
      <c r="A33" s="261"/>
      <c r="B33" s="261"/>
      <c r="C33" s="261"/>
      <c r="D33" s="261"/>
      <c r="E33" s="261"/>
      <c r="F33" s="261"/>
      <c r="G33" s="261"/>
      <c r="H33" s="261"/>
      <c r="I33" s="261"/>
      <c r="J33" s="261"/>
      <c r="K33" s="261"/>
      <c r="L33" s="261"/>
      <c r="M33" s="261"/>
      <c r="N33" s="261"/>
      <c r="O33" s="261"/>
      <c r="P33" s="261"/>
      <c r="Q33" s="331"/>
      <c r="R33" s="331"/>
      <c r="S33" s="261"/>
      <c r="T33" s="261"/>
      <c r="U33" s="261"/>
      <c r="V33" s="261"/>
      <c r="W33" s="938"/>
      <c r="X33" s="938"/>
      <c r="Y33" s="261"/>
      <c r="Z33" s="261"/>
      <c r="AA33" s="261"/>
      <c r="AB33" s="261"/>
      <c r="AC33" s="261"/>
      <c r="AD33" s="261"/>
      <c r="AE33" s="261"/>
      <c r="AF33" s="261"/>
      <c r="AG33" s="261"/>
      <c r="AH33" s="261"/>
      <c r="AI33" s="261"/>
      <c r="AJ33" s="261"/>
      <c r="AK33" s="261"/>
    </row>
    <row r="34" spans="1:37" ht="12.75">
      <c r="A34" s="261"/>
      <c r="B34" s="261"/>
      <c r="C34" s="261"/>
      <c r="D34" s="261"/>
      <c r="E34" s="261"/>
      <c r="F34" s="261"/>
      <c r="G34" s="261"/>
      <c r="H34" s="261"/>
      <c r="I34" s="261"/>
      <c r="J34" s="261"/>
      <c r="K34" s="261"/>
      <c r="L34" s="261"/>
      <c r="M34" s="261"/>
      <c r="N34" s="261"/>
      <c r="O34" s="261"/>
      <c r="P34" s="261"/>
      <c r="Q34" s="331"/>
      <c r="R34" s="331"/>
      <c r="S34" s="261"/>
      <c r="T34" s="261"/>
      <c r="U34" s="261"/>
      <c r="V34" s="261"/>
      <c r="W34" s="938"/>
      <c r="X34" s="938"/>
      <c r="Y34" s="261"/>
      <c r="Z34" s="261"/>
      <c r="AA34" s="261"/>
      <c r="AB34" s="261"/>
      <c r="AC34" s="261"/>
      <c r="AD34" s="261"/>
      <c r="AE34" s="261"/>
      <c r="AF34" s="261"/>
      <c r="AG34" s="261"/>
      <c r="AH34" s="261"/>
      <c r="AI34" s="261"/>
      <c r="AJ34" s="261"/>
      <c r="AK34" s="261"/>
    </row>
    <row r="35" spans="1:37" ht="12.75">
      <c r="A35" s="261"/>
      <c r="B35" s="261"/>
      <c r="C35" s="261"/>
      <c r="D35" s="261"/>
      <c r="E35" s="261"/>
      <c r="F35" s="261"/>
      <c r="G35" s="261"/>
      <c r="H35" s="261"/>
      <c r="I35" s="261"/>
      <c r="J35" s="261"/>
      <c r="K35" s="261"/>
      <c r="L35" s="261"/>
      <c r="M35" s="261"/>
      <c r="N35" s="261"/>
      <c r="O35" s="261"/>
      <c r="P35" s="261"/>
      <c r="Q35" s="331"/>
      <c r="R35" s="331"/>
      <c r="S35" s="261"/>
      <c r="T35" s="261"/>
      <c r="U35" s="261"/>
      <c r="V35" s="261"/>
      <c r="W35" s="938"/>
      <c r="X35" s="938"/>
      <c r="Y35" s="261"/>
      <c r="Z35" s="261"/>
      <c r="AA35" s="261"/>
      <c r="AB35" s="261"/>
      <c r="AC35" s="261"/>
      <c r="AD35" s="261"/>
      <c r="AE35" s="261"/>
      <c r="AF35" s="261"/>
      <c r="AG35" s="261"/>
      <c r="AH35" s="261"/>
      <c r="AI35" s="261"/>
      <c r="AJ35" s="261"/>
      <c r="AK35" s="261"/>
    </row>
    <row r="36" spans="1:37" ht="12.75">
      <c r="A36" s="261"/>
      <c r="B36" s="261"/>
      <c r="C36" s="261"/>
      <c r="D36" s="261"/>
      <c r="E36" s="261"/>
      <c r="F36" s="261"/>
      <c r="G36" s="261"/>
      <c r="H36" s="261"/>
      <c r="I36" s="261"/>
      <c r="J36" s="261"/>
      <c r="K36" s="261"/>
      <c r="L36" s="261"/>
      <c r="M36" s="261"/>
      <c r="N36" s="261"/>
      <c r="O36" s="261"/>
      <c r="P36" s="261"/>
      <c r="Q36" s="331"/>
      <c r="R36" s="331"/>
      <c r="S36" s="261"/>
      <c r="T36" s="261"/>
      <c r="U36" s="261"/>
      <c r="V36" s="261"/>
      <c r="W36" s="938"/>
      <c r="X36" s="938"/>
      <c r="Y36" s="261"/>
      <c r="Z36" s="261"/>
      <c r="AA36" s="261"/>
      <c r="AB36" s="261"/>
      <c r="AC36" s="261"/>
      <c r="AD36" s="261"/>
      <c r="AE36" s="261"/>
      <c r="AF36" s="261"/>
      <c r="AG36" s="261"/>
      <c r="AH36" s="261"/>
      <c r="AI36" s="261"/>
      <c r="AJ36" s="261"/>
      <c r="AK36" s="261"/>
    </row>
    <row r="37" spans="1:37" ht="12.75">
      <c r="A37" s="261"/>
      <c r="B37" s="261"/>
      <c r="C37" s="261"/>
      <c r="D37" s="261"/>
      <c r="E37" s="261"/>
      <c r="F37" s="261"/>
      <c r="G37" s="261"/>
      <c r="H37" s="261"/>
      <c r="I37" s="261"/>
      <c r="J37" s="261"/>
      <c r="K37" s="261"/>
      <c r="L37" s="261"/>
      <c r="M37" s="261"/>
      <c r="N37" s="261"/>
      <c r="O37" s="261"/>
      <c r="P37" s="261"/>
      <c r="Q37" s="331"/>
      <c r="R37" s="331"/>
      <c r="S37" s="261"/>
      <c r="T37" s="261"/>
      <c r="U37" s="261"/>
      <c r="V37" s="261"/>
      <c r="W37" s="938"/>
      <c r="X37" s="938"/>
      <c r="Y37" s="261"/>
      <c r="Z37" s="261"/>
      <c r="AA37" s="261"/>
      <c r="AB37" s="261"/>
      <c r="AC37" s="261"/>
      <c r="AD37" s="261"/>
      <c r="AE37" s="261"/>
      <c r="AF37" s="261"/>
      <c r="AG37" s="261"/>
      <c r="AH37" s="261"/>
      <c r="AI37" s="261"/>
      <c r="AJ37" s="261"/>
      <c r="AK37" s="261"/>
    </row>
    <row r="38" spans="1:37" ht="12.75">
      <c r="A38" s="261"/>
      <c r="B38" s="261"/>
      <c r="C38" s="261"/>
      <c r="D38" s="261"/>
      <c r="E38" s="261"/>
      <c r="F38" s="261"/>
      <c r="G38" s="261"/>
      <c r="H38" s="261"/>
      <c r="I38" s="261"/>
      <c r="J38" s="261"/>
      <c r="K38" s="261"/>
      <c r="L38" s="261"/>
      <c r="M38" s="261"/>
      <c r="N38" s="261"/>
      <c r="O38" s="261"/>
      <c r="P38" s="261"/>
      <c r="Q38" s="331"/>
      <c r="R38" s="331"/>
      <c r="S38" s="261"/>
      <c r="T38" s="261"/>
      <c r="U38" s="261"/>
      <c r="V38" s="261"/>
      <c r="W38" s="938"/>
      <c r="X38" s="938"/>
      <c r="Y38" s="261"/>
      <c r="Z38" s="261"/>
      <c r="AA38" s="261"/>
      <c r="AB38" s="261"/>
      <c r="AC38" s="261"/>
      <c r="AD38" s="261"/>
      <c r="AE38" s="261"/>
      <c r="AF38" s="261"/>
      <c r="AG38" s="261"/>
      <c r="AH38" s="261"/>
      <c r="AI38" s="261"/>
      <c r="AJ38" s="261"/>
      <c r="AK38" s="261"/>
    </row>
    <row r="39" spans="1:37" ht="12.75">
      <c r="A39" s="261"/>
      <c r="B39" s="261"/>
      <c r="C39" s="261"/>
      <c r="D39" s="261"/>
      <c r="E39" s="261"/>
      <c r="F39" s="261"/>
      <c r="G39" s="261"/>
      <c r="H39" s="261"/>
      <c r="I39" s="261"/>
      <c r="J39" s="261"/>
      <c r="K39" s="261"/>
      <c r="L39" s="261"/>
      <c r="M39" s="261"/>
      <c r="N39" s="261"/>
      <c r="O39" s="261"/>
      <c r="P39" s="261"/>
      <c r="Q39" s="331"/>
      <c r="R39" s="331"/>
      <c r="S39" s="261"/>
      <c r="T39" s="261"/>
      <c r="U39" s="261"/>
      <c r="V39" s="261"/>
      <c r="W39" s="938"/>
      <c r="X39" s="938"/>
      <c r="Y39" s="261"/>
      <c r="Z39" s="261"/>
      <c r="AA39" s="261"/>
      <c r="AB39" s="261"/>
      <c r="AC39" s="261"/>
      <c r="AD39" s="261"/>
      <c r="AE39" s="261"/>
      <c r="AF39" s="261"/>
      <c r="AG39" s="261"/>
      <c r="AH39" s="261"/>
      <c r="AI39" s="261"/>
      <c r="AJ39" s="261"/>
      <c r="AK39" s="261"/>
    </row>
    <row r="40" spans="1:37" ht="12.75">
      <c r="A40" s="261"/>
      <c r="B40" s="261"/>
      <c r="C40" s="261"/>
      <c r="D40" s="261"/>
      <c r="E40" s="261"/>
      <c r="F40" s="261"/>
      <c r="G40" s="261"/>
      <c r="H40" s="261"/>
      <c r="I40" s="261"/>
      <c r="J40" s="261"/>
      <c r="K40" s="261"/>
      <c r="L40" s="261"/>
      <c r="M40" s="261"/>
      <c r="N40" s="261"/>
      <c r="O40" s="261"/>
      <c r="P40" s="261"/>
      <c r="Q40" s="331"/>
      <c r="R40" s="331"/>
      <c r="S40" s="261"/>
      <c r="T40" s="261"/>
      <c r="U40" s="261"/>
      <c r="V40" s="261"/>
      <c r="W40" s="938"/>
      <c r="X40" s="938"/>
      <c r="Y40" s="261"/>
      <c r="Z40" s="261"/>
      <c r="AA40" s="261"/>
      <c r="AB40" s="261"/>
      <c r="AC40" s="261"/>
      <c r="AD40" s="261"/>
      <c r="AE40" s="261"/>
      <c r="AF40" s="261"/>
      <c r="AG40" s="261"/>
      <c r="AH40" s="261"/>
      <c r="AI40" s="261"/>
      <c r="AJ40" s="261"/>
      <c r="AK40" s="261"/>
    </row>
    <row r="41" spans="1:37" ht="12.75">
      <c r="A41" s="261"/>
      <c r="B41" s="261"/>
      <c r="C41" s="261"/>
      <c r="D41" s="261"/>
      <c r="E41" s="261"/>
      <c r="F41" s="261"/>
      <c r="G41" s="261"/>
      <c r="H41" s="261"/>
      <c r="I41" s="261"/>
      <c r="J41" s="261"/>
      <c r="K41" s="261"/>
      <c r="L41" s="261"/>
      <c r="M41" s="261"/>
      <c r="N41" s="261"/>
      <c r="O41" s="261"/>
      <c r="P41" s="261"/>
      <c r="Q41" s="331"/>
      <c r="R41" s="331"/>
      <c r="S41" s="261"/>
      <c r="T41" s="261"/>
      <c r="U41" s="261"/>
      <c r="V41" s="261"/>
      <c r="W41" s="938"/>
      <c r="X41" s="938"/>
      <c r="Y41" s="261"/>
      <c r="Z41" s="261"/>
      <c r="AA41" s="261"/>
      <c r="AB41" s="261"/>
      <c r="AC41" s="261"/>
      <c r="AD41" s="261"/>
      <c r="AE41" s="261"/>
      <c r="AF41" s="261"/>
      <c r="AG41" s="261"/>
      <c r="AH41" s="261"/>
      <c r="AI41" s="261"/>
      <c r="AJ41" s="261"/>
      <c r="AK41" s="261"/>
    </row>
    <row r="42" spans="1:37" ht="12.75">
      <c r="A42" s="261"/>
      <c r="B42" s="261"/>
      <c r="C42" s="261"/>
      <c r="D42" s="261"/>
      <c r="E42" s="261"/>
      <c r="F42" s="261"/>
      <c r="G42" s="261"/>
      <c r="H42" s="261"/>
      <c r="I42" s="261"/>
      <c r="J42" s="261"/>
      <c r="K42" s="261"/>
      <c r="L42" s="261"/>
      <c r="M42" s="261"/>
      <c r="N42" s="261"/>
      <c r="O42" s="261"/>
      <c r="P42" s="261"/>
      <c r="Q42" s="331"/>
      <c r="R42" s="331"/>
      <c r="S42" s="261"/>
      <c r="T42" s="261"/>
      <c r="U42" s="261"/>
      <c r="V42" s="261"/>
      <c r="W42" s="938"/>
      <c r="X42" s="938"/>
      <c r="Y42" s="261"/>
      <c r="Z42" s="261"/>
      <c r="AA42" s="261"/>
      <c r="AB42" s="261"/>
      <c r="AC42" s="261"/>
      <c r="AD42" s="261"/>
      <c r="AE42" s="261"/>
      <c r="AF42" s="261"/>
      <c r="AG42" s="261"/>
      <c r="AH42" s="261"/>
      <c r="AI42" s="261"/>
      <c r="AJ42" s="261"/>
      <c r="AK42" s="261"/>
    </row>
    <row r="43" spans="1:37" ht="12.75">
      <c r="A43" s="261"/>
      <c r="B43" s="261"/>
      <c r="C43" s="261"/>
      <c r="D43" s="261"/>
      <c r="E43" s="261"/>
      <c r="F43" s="261"/>
      <c r="G43" s="261"/>
      <c r="H43" s="261"/>
      <c r="I43" s="261"/>
      <c r="J43" s="261"/>
      <c r="K43" s="261"/>
      <c r="L43" s="261"/>
      <c r="M43" s="261"/>
      <c r="N43" s="261"/>
      <c r="O43" s="261"/>
      <c r="P43" s="261"/>
      <c r="Q43" s="331"/>
      <c r="R43" s="331"/>
      <c r="S43" s="261"/>
      <c r="T43" s="261"/>
      <c r="U43" s="261"/>
      <c r="V43" s="261"/>
      <c r="W43" s="938"/>
      <c r="X43" s="938"/>
      <c r="Y43" s="261"/>
      <c r="Z43" s="261"/>
      <c r="AA43" s="261"/>
      <c r="AB43" s="261"/>
      <c r="AC43" s="261"/>
      <c r="AD43" s="261"/>
      <c r="AE43" s="261"/>
      <c r="AF43" s="261"/>
      <c r="AG43" s="261"/>
      <c r="AH43" s="261"/>
      <c r="AI43" s="261"/>
      <c r="AJ43" s="261"/>
      <c r="AK43" s="261"/>
    </row>
    <row r="44" spans="1:37" ht="12.75">
      <c r="A44" s="261"/>
      <c r="B44" s="261"/>
      <c r="C44" s="261"/>
      <c r="D44" s="261"/>
      <c r="E44" s="261"/>
      <c r="F44" s="261"/>
      <c r="G44" s="261"/>
      <c r="H44" s="261"/>
      <c r="I44" s="261"/>
      <c r="J44" s="261"/>
      <c r="K44" s="261"/>
      <c r="L44" s="261"/>
      <c r="M44" s="261"/>
      <c r="N44" s="261"/>
      <c r="O44" s="261"/>
      <c r="P44" s="261"/>
      <c r="Q44" s="331"/>
      <c r="R44" s="331"/>
      <c r="S44" s="261"/>
      <c r="T44" s="261"/>
      <c r="U44" s="261"/>
      <c r="V44" s="261"/>
      <c r="W44" s="938"/>
      <c r="X44" s="938"/>
      <c r="Y44" s="261"/>
      <c r="Z44" s="261"/>
      <c r="AA44" s="261"/>
      <c r="AB44" s="261"/>
      <c r="AC44" s="261"/>
      <c r="AD44" s="261"/>
      <c r="AE44" s="261"/>
      <c r="AF44" s="261"/>
      <c r="AG44" s="261"/>
      <c r="AH44" s="261"/>
      <c r="AI44" s="261"/>
      <c r="AJ44" s="261"/>
      <c r="AK44" s="261"/>
    </row>
    <row r="45" spans="1:37" ht="12.75">
      <c r="A45" s="261"/>
      <c r="B45" s="261"/>
      <c r="C45" s="261"/>
      <c r="D45" s="261"/>
      <c r="E45" s="261"/>
      <c r="F45" s="261"/>
      <c r="G45" s="261"/>
      <c r="H45" s="261"/>
      <c r="I45" s="261"/>
      <c r="J45" s="261"/>
      <c r="K45" s="261"/>
      <c r="L45" s="261"/>
      <c r="M45" s="261"/>
      <c r="N45" s="261"/>
      <c r="O45" s="261"/>
      <c r="P45" s="261"/>
      <c r="Q45" s="331"/>
      <c r="R45" s="331"/>
      <c r="S45" s="261"/>
      <c r="T45" s="261"/>
      <c r="U45" s="261"/>
      <c r="V45" s="261"/>
      <c r="W45" s="938"/>
      <c r="X45" s="938"/>
      <c r="Y45" s="261"/>
      <c r="Z45" s="261"/>
      <c r="AA45" s="261"/>
      <c r="AB45" s="261"/>
      <c r="AC45" s="261"/>
      <c r="AD45" s="261"/>
      <c r="AE45" s="261"/>
      <c r="AF45" s="261"/>
      <c r="AG45" s="261"/>
      <c r="AH45" s="261"/>
      <c r="AI45" s="261"/>
      <c r="AJ45" s="261"/>
      <c r="AK45" s="261"/>
    </row>
    <row r="46" spans="1:37" ht="12.75">
      <c r="A46" s="261"/>
      <c r="B46" s="261"/>
      <c r="C46" s="261"/>
      <c r="D46" s="261"/>
      <c r="E46" s="261"/>
      <c r="F46" s="261"/>
      <c r="G46" s="261"/>
      <c r="H46" s="261"/>
      <c r="I46" s="261"/>
      <c r="J46" s="261"/>
      <c r="K46" s="261"/>
      <c r="L46" s="261"/>
      <c r="M46" s="261"/>
      <c r="N46" s="261"/>
      <c r="O46" s="261"/>
      <c r="P46" s="261"/>
      <c r="Q46" s="331"/>
      <c r="R46" s="331"/>
      <c r="S46" s="261"/>
      <c r="T46" s="261"/>
      <c r="U46" s="261"/>
      <c r="V46" s="261"/>
      <c r="W46" s="938"/>
      <c r="X46" s="938"/>
      <c r="Y46" s="261"/>
      <c r="Z46" s="261"/>
      <c r="AA46" s="261"/>
      <c r="AB46" s="261"/>
      <c r="AC46" s="261"/>
      <c r="AD46" s="261"/>
      <c r="AE46" s="261"/>
      <c r="AF46" s="261"/>
      <c r="AG46" s="261"/>
      <c r="AH46" s="261"/>
      <c r="AI46" s="261"/>
      <c r="AJ46" s="261"/>
      <c r="AK46" s="261"/>
    </row>
    <row r="47" spans="1:37" ht="12.75">
      <c r="A47" s="261"/>
      <c r="B47" s="261"/>
      <c r="C47" s="261"/>
      <c r="D47" s="261"/>
      <c r="E47" s="261"/>
      <c r="F47" s="261"/>
      <c r="G47" s="261"/>
      <c r="H47" s="261"/>
      <c r="I47" s="261"/>
      <c r="J47" s="261"/>
      <c r="K47" s="261"/>
      <c r="L47" s="261"/>
      <c r="M47" s="261"/>
      <c r="N47" s="261"/>
      <c r="O47" s="261"/>
      <c r="P47" s="261"/>
      <c r="Q47" s="331"/>
      <c r="R47" s="331"/>
      <c r="S47" s="261"/>
      <c r="T47" s="261"/>
      <c r="U47" s="261"/>
      <c r="V47" s="261"/>
      <c r="W47" s="938"/>
      <c r="X47" s="938"/>
      <c r="Y47" s="261"/>
      <c r="Z47" s="261"/>
      <c r="AA47" s="261"/>
      <c r="AB47" s="261"/>
      <c r="AC47" s="261"/>
      <c r="AD47" s="261"/>
      <c r="AE47" s="261"/>
      <c r="AF47" s="261"/>
      <c r="AG47" s="261"/>
      <c r="AH47" s="261"/>
      <c r="AI47" s="261"/>
      <c r="AJ47" s="261"/>
      <c r="AK47" s="261"/>
    </row>
  </sheetData>
  <sheetProtection/>
  <mergeCells count="5">
    <mergeCell ref="A1:X1"/>
    <mergeCell ref="A3:X3"/>
    <mergeCell ref="A4:X4"/>
    <mergeCell ref="A12:X12"/>
    <mergeCell ref="A13:X13"/>
  </mergeCells>
  <printOptions horizontalCentered="1"/>
  <pageMargins left="0.7874015748031497" right="0.7874015748031497" top="0.984251968503937" bottom="0.984251968503937" header="0" footer="0"/>
  <pageSetup fitToHeight="1" fitToWidth="1" horizontalDpi="600" verticalDpi="600" orientation="landscape" scale="42"/>
</worksheet>
</file>

<file path=xl/worksheets/sheet19.xml><?xml version="1.0" encoding="utf-8"?>
<worksheet xmlns="http://schemas.openxmlformats.org/spreadsheetml/2006/main" xmlns:r="http://schemas.openxmlformats.org/officeDocument/2006/relationships">
  <sheetPr>
    <tabColor theme="9" tint="-0.24997000396251678"/>
    <pageSetUpPr fitToPage="1"/>
  </sheetPr>
  <dimension ref="A1:Z23"/>
  <sheetViews>
    <sheetView zoomScalePageLayoutView="0" workbookViewId="0" topLeftCell="A1">
      <pane xSplit="1" ySplit="9" topLeftCell="L10" activePane="bottomRight" state="frozen"/>
      <selection pane="topLeft" activeCell="A1" sqref="A1:Y1"/>
      <selection pane="topRight" activeCell="A1" sqref="A1:Y1"/>
      <selection pane="bottomLeft" activeCell="A1" sqref="A1:Y1"/>
      <selection pane="bottomRight" activeCell="A1" sqref="A1:Z1"/>
    </sheetView>
  </sheetViews>
  <sheetFormatPr defaultColWidth="10.8515625" defaultRowHeight="12.75"/>
  <cols>
    <col min="1" max="1" width="41.7109375" style="5" customWidth="1"/>
    <col min="2" max="10" width="10.421875" style="5" customWidth="1"/>
    <col min="11" max="18" width="10.421875" style="17" customWidth="1"/>
    <col min="19" max="25" width="10.421875" style="5" customWidth="1"/>
    <col min="26" max="26" width="10.421875" style="473" customWidth="1"/>
    <col min="27" max="27" width="15.140625" style="17" bestFit="1" customWidth="1"/>
    <col min="28" max="16384" width="10.8515625" style="17" customWidth="1"/>
  </cols>
  <sheetData>
    <row r="1" spans="1:26" ht="12.75">
      <c r="A1" s="1175" t="s">
        <v>561</v>
      </c>
      <c r="B1" s="1176"/>
      <c r="C1" s="1176"/>
      <c r="D1" s="1176"/>
      <c r="E1" s="1176"/>
      <c r="F1" s="1176"/>
      <c r="G1" s="1176"/>
      <c r="H1" s="1176"/>
      <c r="I1" s="1176"/>
      <c r="J1" s="1176"/>
      <c r="K1" s="1176"/>
      <c r="L1" s="1176"/>
      <c r="M1" s="1176"/>
      <c r="N1" s="1176"/>
      <c r="O1" s="1176"/>
      <c r="P1" s="1176"/>
      <c r="Q1" s="1176"/>
      <c r="R1" s="1176"/>
      <c r="S1" s="1176"/>
      <c r="T1" s="1176"/>
      <c r="U1" s="1176"/>
      <c r="V1" s="1176"/>
      <c r="W1" s="1176"/>
      <c r="X1" s="1176"/>
      <c r="Y1" s="1176"/>
      <c r="Z1" s="1114"/>
    </row>
    <row r="3" spans="1:26" ht="18" customHeight="1">
      <c r="A3" s="1109" t="s">
        <v>11</v>
      </c>
      <c r="B3" s="1109"/>
      <c r="C3" s="1109"/>
      <c r="D3" s="1109"/>
      <c r="E3" s="1109"/>
      <c r="F3" s="1109"/>
      <c r="G3" s="1109"/>
      <c r="H3" s="1109"/>
      <c r="I3" s="1109"/>
      <c r="J3" s="1109"/>
      <c r="K3" s="1109"/>
      <c r="L3" s="1109"/>
      <c r="M3" s="1109"/>
      <c r="N3" s="1109"/>
      <c r="O3" s="1109"/>
      <c r="P3" s="1109"/>
      <c r="Q3" s="1109"/>
      <c r="R3" s="1109"/>
      <c r="S3" s="1109"/>
      <c r="T3" s="1109"/>
      <c r="U3" s="1109"/>
      <c r="V3" s="1109"/>
      <c r="W3" s="1109"/>
      <c r="X3" s="1109"/>
      <c r="Y3" s="1109"/>
      <c r="Z3" s="1109"/>
    </row>
    <row r="4" spans="1:26" ht="18" customHeight="1">
      <c r="A4" s="1111" t="s">
        <v>851</v>
      </c>
      <c r="B4" s="1111"/>
      <c r="C4" s="1111"/>
      <c r="D4" s="1111"/>
      <c r="E4" s="1111"/>
      <c r="F4" s="1111"/>
      <c r="G4" s="1111"/>
      <c r="H4" s="1111"/>
      <c r="I4" s="1111"/>
      <c r="J4" s="1111"/>
      <c r="K4" s="1111"/>
      <c r="L4" s="1111"/>
      <c r="M4" s="1111"/>
      <c r="N4" s="1111"/>
      <c r="O4" s="1111"/>
      <c r="P4" s="1111"/>
      <c r="Q4" s="1111"/>
      <c r="R4" s="1111"/>
      <c r="S4" s="1111"/>
      <c r="T4" s="1111"/>
      <c r="U4" s="1111"/>
      <c r="V4" s="1111"/>
      <c r="W4" s="1111"/>
      <c r="X4" s="1111"/>
      <c r="Y4" s="1111"/>
      <c r="Z4" s="1111"/>
    </row>
    <row r="5" spans="2:10" ht="18" customHeight="1">
      <c r="B5" s="22"/>
      <c r="C5" s="22"/>
      <c r="D5" s="22"/>
      <c r="E5" s="22"/>
      <c r="F5" s="22"/>
      <c r="G5" s="22"/>
      <c r="H5" s="22"/>
      <c r="I5" s="22"/>
      <c r="J5" s="22"/>
    </row>
    <row r="6" spans="1:26" s="11" customFormat="1" ht="18" customHeight="1">
      <c r="A6" s="19"/>
      <c r="B6" s="290">
        <v>2000</v>
      </c>
      <c r="C6" s="290">
        <v>2001</v>
      </c>
      <c r="D6" s="290">
        <v>2002</v>
      </c>
      <c r="E6" s="290">
        <v>2003</v>
      </c>
      <c r="F6" s="290">
        <v>2004</v>
      </c>
      <c r="G6" s="290">
        <v>2005</v>
      </c>
      <c r="H6" s="290">
        <v>2006</v>
      </c>
      <c r="I6" s="290">
        <v>2007</v>
      </c>
      <c r="J6" s="290">
        <v>2008</v>
      </c>
      <c r="K6" s="290">
        <v>2009</v>
      </c>
      <c r="L6" s="290">
        <v>2010</v>
      </c>
      <c r="M6" s="290">
        <v>2011</v>
      </c>
      <c r="N6" s="290">
        <v>2012</v>
      </c>
      <c r="O6" s="290">
        <v>2013</v>
      </c>
      <c r="P6" s="290">
        <v>2014</v>
      </c>
      <c r="Q6" s="290">
        <v>2015</v>
      </c>
      <c r="R6" s="290">
        <v>2016</v>
      </c>
      <c r="S6" s="290">
        <v>2017</v>
      </c>
      <c r="T6" s="290">
        <v>2018</v>
      </c>
      <c r="U6" s="290">
        <v>2019</v>
      </c>
      <c r="V6" s="290">
        <v>2020</v>
      </c>
      <c r="W6" s="290">
        <v>2021</v>
      </c>
      <c r="X6" s="290">
        <v>2022</v>
      </c>
      <c r="Y6" s="290">
        <v>2023</v>
      </c>
      <c r="Z6" s="463">
        <v>2024</v>
      </c>
    </row>
    <row r="7" spans="1:26" ht="18" customHeight="1">
      <c r="A7" s="176" t="s">
        <v>178</v>
      </c>
      <c r="B7" s="177">
        <v>29380</v>
      </c>
      <c r="C7" s="177">
        <v>30731</v>
      </c>
      <c r="D7" s="177">
        <v>31138</v>
      </c>
      <c r="E7" s="177">
        <v>31478</v>
      </c>
      <c r="F7" s="177">
        <v>32498</v>
      </c>
      <c r="G7" s="177">
        <v>32815</v>
      </c>
      <c r="H7" s="177">
        <v>33256</v>
      </c>
      <c r="I7" s="177">
        <v>34219</v>
      </c>
      <c r="J7" s="177">
        <v>34835</v>
      </c>
      <c r="K7" s="177">
        <v>35057</v>
      </c>
      <c r="L7" s="177">
        <v>35679</v>
      </c>
      <c r="M7" s="177">
        <v>36172</v>
      </c>
      <c r="N7" s="177">
        <v>36750</v>
      </c>
      <c r="O7" s="177">
        <v>37610</v>
      </c>
      <c r="P7" s="177">
        <v>38068</v>
      </c>
      <c r="Q7" s="177">
        <v>38793</v>
      </c>
      <c r="R7" s="177">
        <v>39500</v>
      </c>
      <c r="S7" s="177">
        <v>40184</v>
      </c>
      <c r="T7" s="177">
        <v>40578</v>
      </c>
      <c r="U7" s="177">
        <v>41318</v>
      </c>
      <c r="V7" s="177">
        <v>41332</v>
      </c>
      <c r="W7" s="177">
        <v>41542</v>
      </c>
      <c r="X7" s="177">
        <v>42535</v>
      </c>
      <c r="Y7" s="177">
        <v>42190</v>
      </c>
      <c r="Z7" s="891">
        <v>42580</v>
      </c>
    </row>
    <row r="8" spans="1:26" s="272" customFormat="1" ht="18" customHeight="1">
      <c r="A8" s="183" t="s">
        <v>179</v>
      </c>
      <c r="B8" s="178">
        <v>0.39</v>
      </c>
      <c r="C8" s="178">
        <v>0.393</v>
      </c>
      <c r="D8" s="178">
        <v>0.395</v>
      </c>
      <c r="E8" s="178">
        <v>0.396</v>
      </c>
      <c r="F8" s="178">
        <v>0.403</v>
      </c>
      <c r="G8" s="178">
        <v>0.406</v>
      </c>
      <c r="H8" s="178">
        <v>0.415</v>
      </c>
      <c r="I8" s="178">
        <v>0.416</v>
      </c>
      <c r="J8" s="178">
        <v>0.419</v>
      </c>
      <c r="K8" s="178">
        <v>0.423</v>
      </c>
      <c r="L8" s="178">
        <v>0.426</v>
      </c>
      <c r="M8" s="178">
        <v>0.428</v>
      </c>
      <c r="N8" s="178">
        <v>0.432</v>
      </c>
      <c r="O8" s="178">
        <v>0.434</v>
      </c>
      <c r="P8" s="178">
        <v>0.435</v>
      </c>
      <c r="Q8" s="178">
        <v>0.438</v>
      </c>
      <c r="R8" s="178">
        <v>0.441</v>
      </c>
      <c r="S8" s="178">
        <v>0.442813059924348</v>
      </c>
      <c r="T8" s="178">
        <v>0.442</v>
      </c>
      <c r="U8" s="178">
        <v>0.446</v>
      </c>
      <c r="V8" s="178">
        <v>0.45</v>
      </c>
      <c r="W8" s="178">
        <v>0.454</v>
      </c>
      <c r="X8" s="178">
        <v>0.457</v>
      </c>
      <c r="Y8" s="178">
        <v>0.457</v>
      </c>
      <c r="Z8" s="892">
        <v>0.4595</v>
      </c>
    </row>
    <row r="9" spans="1:26" ht="18" customHeight="1">
      <c r="A9" s="176" t="s">
        <v>180</v>
      </c>
      <c r="B9" s="177">
        <f>SUM(B10:B17)</f>
        <v>36208</v>
      </c>
      <c r="C9" s="177">
        <f aca="true" t="shared" si="0" ref="C9:I9">SUM(C10:C17)</f>
        <v>38152</v>
      </c>
      <c r="D9" s="177">
        <f t="shared" si="0"/>
        <v>38516</v>
      </c>
      <c r="E9" s="177">
        <f t="shared" si="0"/>
        <v>39162</v>
      </c>
      <c r="F9" s="177">
        <f t="shared" si="0"/>
        <v>40306</v>
      </c>
      <c r="G9" s="177">
        <f t="shared" si="0"/>
        <v>40836</v>
      </c>
      <c r="H9" s="177">
        <f t="shared" si="0"/>
        <v>41354</v>
      </c>
      <c r="I9" s="177">
        <f t="shared" si="0"/>
        <v>42347</v>
      </c>
      <c r="J9" s="177">
        <f aca="true" t="shared" si="1" ref="J9:P9">SUM(J10:J17)</f>
        <v>43151</v>
      </c>
      <c r="K9" s="177">
        <f t="shared" si="1"/>
        <v>43252</v>
      </c>
      <c r="L9" s="177">
        <f t="shared" si="1"/>
        <v>44348</v>
      </c>
      <c r="M9" s="177">
        <f t="shared" si="1"/>
        <v>44869</v>
      </c>
      <c r="N9" s="177">
        <f t="shared" si="1"/>
        <v>45253</v>
      </c>
      <c r="O9" s="177">
        <f t="shared" si="1"/>
        <v>46452</v>
      </c>
      <c r="P9" s="177">
        <f t="shared" si="1"/>
        <v>47078</v>
      </c>
      <c r="Q9" s="177">
        <f aca="true" t="shared" si="2" ref="Q9:W9">SUM(Q10:Q17)</f>
        <v>47810</v>
      </c>
      <c r="R9" s="177">
        <f t="shared" si="2"/>
        <v>48758</v>
      </c>
      <c r="S9" s="177">
        <f t="shared" si="2"/>
        <v>49298</v>
      </c>
      <c r="T9" s="177">
        <f t="shared" si="2"/>
        <v>49279</v>
      </c>
      <c r="U9" s="177">
        <f t="shared" si="2"/>
        <v>50369</v>
      </c>
      <c r="V9" s="177">
        <f t="shared" si="2"/>
        <v>50468</v>
      </c>
      <c r="W9" s="177">
        <f t="shared" si="2"/>
        <v>50794</v>
      </c>
      <c r="X9" s="177">
        <f>SUM(X10:X17)</f>
        <v>51943</v>
      </c>
      <c r="Y9" s="177">
        <f>SUM(Y10:Y17)</f>
        <v>51463</v>
      </c>
      <c r="Z9" s="984">
        <f>SUM(Z10:Z17)</f>
        <v>52029</v>
      </c>
    </row>
    <row r="10" spans="1:26" ht="18" customHeight="1">
      <c r="A10" s="174" t="s">
        <v>181</v>
      </c>
      <c r="B10" s="181">
        <v>5022</v>
      </c>
      <c r="C10" s="181">
        <v>5086</v>
      </c>
      <c r="D10" s="181">
        <v>5271</v>
      </c>
      <c r="E10" s="181">
        <v>5283</v>
      </c>
      <c r="F10" s="181">
        <v>5319</v>
      </c>
      <c r="G10" s="181">
        <v>5358</v>
      </c>
      <c r="H10" s="181">
        <v>5392</v>
      </c>
      <c r="I10" s="181">
        <v>5417</v>
      </c>
      <c r="J10" s="181">
        <v>5391</v>
      </c>
      <c r="K10" s="181">
        <v>5407</v>
      </c>
      <c r="L10" s="181">
        <v>5429</v>
      </c>
      <c r="M10" s="181">
        <v>5405</v>
      </c>
      <c r="N10" s="181">
        <v>5454</v>
      </c>
      <c r="O10" s="181">
        <v>5478</v>
      </c>
      <c r="P10" s="181">
        <v>5378</v>
      </c>
      <c r="Q10" s="170">
        <v>5421</v>
      </c>
      <c r="R10" s="170">
        <v>5462</v>
      </c>
      <c r="S10" s="181">
        <v>5487</v>
      </c>
      <c r="T10" s="181">
        <v>5503</v>
      </c>
      <c r="U10" s="181">
        <v>5461</v>
      </c>
      <c r="V10" s="181">
        <v>5524</v>
      </c>
      <c r="W10" s="181">
        <v>5783</v>
      </c>
      <c r="X10" s="181">
        <v>5755</v>
      </c>
      <c r="Y10" s="181">
        <v>5724</v>
      </c>
      <c r="Z10" s="465">
        <v>5598</v>
      </c>
    </row>
    <row r="11" spans="1:26" ht="18" customHeight="1">
      <c r="A11" s="204" t="s">
        <v>182</v>
      </c>
      <c r="B11" s="181">
        <v>2074</v>
      </c>
      <c r="C11" s="181">
        <v>2142</v>
      </c>
      <c r="D11" s="181">
        <v>2165</v>
      </c>
      <c r="E11" s="181">
        <v>2172</v>
      </c>
      <c r="F11" s="181">
        <v>2231</v>
      </c>
      <c r="G11" s="181">
        <v>2267</v>
      </c>
      <c r="H11" s="181">
        <v>2300</v>
      </c>
      <c r="I11" s="181">
        <v>2337</v>
      </c>
      <c r="J11" s="181">
        <v>2360</v>
      </c>
      <c r="K11" s="181">
        <v>2391</v>
      </c>
      <c r="L11" s="181">
        <v>2419</v>
      </c>
      <c r="M11" s="181">
        <v>2438</v>
      </c>
      <c r="N11" s="181">
        <v>2447</v>
      </c>
      <c r="O11" s="181">
        <v>2458</v>
      </c>
      <c r="P11" s="181">
        <v>2449</v>
      </c>
      <c r="Q11" s="170">
        <v>2551</v>
      </c>
      <c r="R11" s="170">
        <v>2592</v>
      </c>
      <c r="S11" s="181">
        <v>2615</v>
      </c>
      <c r="T11" s="181">
        <v>2659</v>
      </c>
      <c r="U11" s="181">
        <v>2645</v>
      </c>
      <c r="V11" s="181">
        <v>2690</v>
      </c>
      <c r="W11" s="181">
        <v>2727</v>
      </c>
      <c r="X11" s="181">
        <v>2716</v>
      </c>
      <c r="Y11" s="181">
        <v>2730</v>
      </c>
      <c r="Z11" s="465">
        <v>2717</v>
      </c>
    </row>
    <row r="12" spans="1:26" ht="18" customHeight="1">
      <c r="A12" s="204" t="s">
        <v>183</v>
      </c>
      <c r="B12" s="181">
        <v>1420</v>
      </c>
      <c r="C12" s="181">
        <v>1565</v>
      </c>
      <c r="D12" s="181">
        <v>1610</v>
      </c>
      <c r="E12" s="181">
        <v>1655</v>
      </c>
      <c r="F12" s="181">
        <v>1713</v>
      </c>
      <c r="G12" s="181">
        <v>1793</v>
      </c>
      <c r="H12" s="181">
        <v>1858</v>
      </c>
      <c r="I12" s="181">
        <v>1937</v>
      </c>
      <c r="J12" s="181">
        <v>1987</v>
      </c>
      <c r="K12" s="181">
        <v>2030</v>
      </c>
      <c r="L12" s="181">
        <v>2063</v>
      </c>
      <c r="M12" s="181">
        <v>2071</v>
      </c>
      <c r="N12" s="181">
        <v>2081</v>
      </c>
      <c r="O12" s="181">
        <v>2088</v>
      </c>
      <c r="P12" s="181">
        <v>2106</v>
      </c>
      <c r="Q12" s="170">
        <v>2097</v>
      </c>
      <c r="R12" s="170">
        <v>2158</v>
      </c>
      <c r="S12" s="181">
        <v>2185</v>
      </c>
      <c r="T12" s="181">
        <v>2190</v>
      </c>
      <c r="U12" s="181">
        <v>2209</v>
      </c>
      <c r="V12" s="181">
        <v>2205</v>
      </c>
      <c r="W12" s="181">
        <v>2219</v>
      </c>
      <c r="X12" s="181">
        <v>2240</v>
      </c>
      <c r="Y12" s="181">
        <v>2217</v>
      </c>
      <c r="Z12" s="465">
        <v>2212</v>
      </c>
    </row>
    <row r="13" spans="1:26" ht="18" customHeight="1">
      <c r="A13" s="204" t="s">
        <v>184</v>
      </c>
      <c r="B13" s="181">
        <v>1731</v>
      </c>
      <c r="C13" s="181">
        <v>1795</v>
      </c>
      <c r="D13" s="181">
        <v>1826</v>
      </c>
      <c r="E13" s="181">
        <v>1814</v>
      </c>
      <c r="F13" s="181">
        <v>1876</v>
      </c>
      <c r="G13" s="181">
        <v>1924</v>
      </c>
      <c r="H13" s="181">
        <v>1978</v>
      </c>
      <c r="I13" s="181">
        <v>2013</v>
      </c>
      <c r="J13" s="181">
        <v>2016</v>
      </c>
      <c r="K13" s="181">
        <v>2032</v>
      </c>
      <c r="L13" s="181">
        <v>2066</v>
      </c>
      <c r="M13" s="181">
        <v>2083</v>
      </c>
      <c r="N13" s="181">
        <v>2111</v>
      </c>
      <c r="O13" s="181">
        <v>2145</v>
      </c>
      <c r="P13" s="181">
        <v>2144</v>
      </c>
      <c r="Q13" s="170">
        <v>2184</v>
      </c>
      <c r="R13" s="170">
        <v>2229</v>
      </c>
      <c r="S13" s="181">
        <v>2266</v>
      </c>
      <c r="T13" s="181">
        <v>2306</v>
      </c>
      <c r="U13" s="181">
        <v>2328</v>
      </c>
      <c r="V13" s="181">
        <v>2366</v>
      </c>
      <c r="W13" s="181">
        <v>2384</v>
      </c>
      <c r="X13" s="181">
        <v>2357</v>
      </c>
      <c r="Y13" s="181">
        <v>2357</v>
      </c>
      <c r="Z13" s="465">
        <v>2392</v>
      </c>
    </row>
    <row r="14" spans="1:26" ht="18" customHeight="1">
      <c r="A14" s="204" t="s">
        <v>185</v>
      </c>
      <c r="B14" s="181">
        <v>23009</v>
      </c>
      <c r="C14" s="181">
        <v>24472</v>
      </c>
      <c r="D14" s="181">
        <v>24157</v>
      </c>
      <c r="E14" s="181">
        <v>24678</v>
      </c>
      <c r="F14" s="181">
        <v>24958</v>
      </c>
      <c r="G14" s="181">
        <v>25381</v>
      </c>
      <c r="H14" s="181">
        <v>25777</v>
      </c>
      <c r="I14" s="181">
        <v>26291</v>
      </c>
      <c r="J14" s="181">
        <v>26739</v>
      </c>
      <c r="K14" s="181">
        <v>26778</v>
      </c>
      <c r="L14" s="181">
        <v>27733</v>
      </c>
      <c r="M14" s="181">
        <v>28177</v>
      </c>
      <c r="N14" s="181">
        <v>28351</v>
      </c>
      <c r="O14" s="181">
        <v>29363</v>
      </c>
      <c r="P14" s="181">
        <v>30021</v>
      </c>
      <c r="Q14" s="170">
        <v>30511</v>
      </c>
      <c r="R14" s="170">
        <v>31101</v>
      </c>
      <c r="S14" s="181">
        <v>31558</v>
      </c>
      <c r="T14" s="181">
        <v>31792</v>
      </c>
      <c r="U14" s="181">
        <v>32556</v>
      </c>
      <c r="V14" s="181">
        <v>32709</v>
      </c>
      <c r="W14" s="181">
        <v>32736</v>
      </c>
      <c r="X14" s="181">
        <v>33336</v>
      </c>
      <c r="Y14" s="181">
        <v>33419</v>
      </c>
      <c r="Z14" s="465">
        <v>34150</v>
      </c>
    </row>
    <row r="15" spans="1:26" ht="18" customHeight="1">
      <c r="A15" s="174" t="s">
        <v>186</v>
      </c>
      <c r="B15" s="181">
        <v>2839</v>
      </c>
      <c r="C15" s="181">
        <v>2976</v>
      </c>
      <c r="D15" s="181">
        <v>3371</v>
      </c>
      <c r="E15" s="181">
        <v>3440</v>
      </c>
      <c r="F15" s="181">
        <v>3680</v>
      </c>
      <c r="G15" s="181">
        <v>3658</v>
      </c>
      <c r="H15" s="181">
        <v>3669</v>
      </c>
      <c r="I15" s="181">
        <v>4004</v>
      </c>
      <c r="J15" s="181">
        <v>4327</v>
      </c>
      <c r="K15" s="181">
        <v>4301</v>
      </c>
      <c r="L15" s="181">
        <v>4336</v>
      </c>
      <c r="M15" s="181">
        <v>4404</v>
      </c>
      <c r="N15" s="181">
        <v>4534</v>
      </c>
      <c r="O15" s="181">
        <v>4652</v>
      </c>
      <c r="P15" s="181">
        <v>4733</v>
      </c>
      <c r="Q15" s="170">
        <v>4819</v>
      </c>
      <c r="R15" s="170">
        <v>5005</v>
      </c>
      <c r="S15" s="181">
        <v>4982</v>
      </c>
      <c r="T15" s="181">
        <v>4641</v>
      </c>
      <c r="U15" s="181">
        <v>4984</v>
      </c>
      <c r="V15" s="181">
        <v>4800</v>
      </c>
      <c r="W15" s="181">
        <v>4781</v>
      </c>
      <c r="X15" s="181">
        <v>5388</v>
      </c>
      <c r="Y15" s="181">
        <v>4907</v>
      </c>
      <c r="Z15" s="465">
        <v>4851</v>
      </c>
    </row>
    <row r="16" spans="1:26" ht="18" customHeight="1">
      <c r="A16" s="174" t="s">
        <v>187</v>
      </c>
      <c r="B16" s="181">
        <v>11</v>
      </c>
      <c r="C16" s="181">
        <v>11</v>
      </c>
      <c r="D16" s="181">
        <v>12</v>
      </c>
      <c r="E16" s="181">
        <v>11</v>
      </c>
      <c r="F16" s="181">
        <v>9</v>
      </c>
      <c r="G16" s="181">
        <v>9</v>
      </c>
      <c r="H16" s="181">
        <v>7</v>
      </c>
      <c r="I16" s="181">
        <v>7</v>
      </c>
      <c r="J16" s="181">
        <v>6</v>
      </c>
      <c r="K16" s="181">
        <v>4</v>
      </c>
      <c r="L16" s="181">
        <v>4</v>
      </c>
      <c r="M16" s="181">
        <v>4</v>
      </c>
      <c r="N16" s="181">
        <v>4</v>
      </c>
      <c r="O16" s="181">
        <v>3</v>
      </c>
      <c r="P16" s="181">
        <v>3</v>
      </c>
      <c r="Q16" s="170">
        <v>1</v>
      </c>
      <c r="R16" s="170">
        <v>1</v>
      </c>
      <c r="S16" s="181">
        <v>0</v>
      </c>
      <c r="T16" s="181">
        <v>1</v>
      </c>
      <c r="U16" s="181">
        <v>1</v>
      </c>
      <c r="V16" s="181">
        <v>1</v>
      </c>
      <c r="W16" s="181">
        <v>1</v>
      </c>
      <c r="X16" s="181">
        <v>1</v>
      </c>
      <c r="Y16" s="181">
        <v>1</v>
      </c>
      <c r="Z16" s="465">
        <v>1</v>
      </c>
    </row>
    <row r="17" spans="1:26" ht="18" customHeight="1">
      <c r="A17" s="204" t="s">
        <v>188</v>
      </c>
      <c r="B17" s="181">
        <v>102</v>
      </c>
      <c r="C17" s="181">
        <v>105</v>
      </c>
      <c r="D17" s="181">
        <v>104</v>
      </c>
      <c r="E17" s="181">
        <v>109</v>
      </c>
      <c r="F17" s="181">
        <v>520</v>
      </c>
      <c r="G17" s="181">
        <v>446</v>
      </c>
      <c r="H17" s="181">
        <v>373</v>
      </c>
      <c r="I17" s="181">
        <v>341</v>
      </c>
      <c r="J17" s="181">
        <v>325</v>
      </c>
      <c r="K17" s="181">
        <v>309</v>
      </c>
      <c r="L17" s="181">
        <v>298</v>
      </c>
      <c r="M17" s="181">
        <v>287</v>
      </c>
      <c r="N17" s="181">
        <v>271</v>
      </c>
      <c r="O17" s="181">
        <v>265</v>
      </c>
      <c r="P17" s="181">
        <v>244</v>
      </c>
      <c r="Q17" s="170">
        <v>226</v>
      </c>
      <c r="R17" s="170">
        <v>210</v>
      </c>
      <c r="S17" s="181">
        <v>205</v>
      </c>
      <c r="T17" s="181">
        <v>187</v>
      </c>
      <c r="U17" s="181">
        <v>185</v>
      </c>
      <c r="V17" s="181">
        <v>173</v>
      </c>
      <c r="W17" s="181">
        <v>163</v>
      </c>
      <c r="X17" s="181">
        <v>150</v>
      </c>
      <c r="Y17" s="181">
        <v>108</v>
      </c>
      <c r="Z17" s="465">
        <v>108</v>
      </c>
    </row>
    <row r="18" spans="2:26" ht="12.75" customHeight="1">
      <c r="B18" s="138"/>
      <c r="C18" s="138"/>
      <c r="D18" s="138"/>
      <c r="E18" s="138"/>
      <c r="F18" s="138"/>
      <c r="G18" s="138"/>
      <c r="H18" s="138"/>
      <c r="M18" s="33"/>
      <c r="N18" s="33"/>
      <c r="O18" s="33"/>
      <c r="P18" s="33"/>
      <c r="Q18" s="33"/>
      <c r="R18" s="33"/>
      <c r="S18" s="33"/>
      <c r="T18" s="33"/>
      <c r="U18" s="33"/>
      <c r="V18" s="33"/>
      <c r="W18" s="33"/>
      <c r="X18" s="33"/>
      <c r="Y18" s="33"/>
      <c r="Z18" s="893"/>
    </row>
    <row r="19" spans="1:10" ht="12" customHeight="1">
      <c r="A19" s="34" t="s">
        <v>189</v>
      </c>
      <c r="B19" s="16"/>
      <c r="C19" s="16"/>
      <c r="D19" s="16"/>
      <c r="E19" s="16"/>
      <c r="F19" s="16"/>
      <c r="G19" s="16"/>
      <c r="H19" s="16"/>
      <c r="I19" s="16"/>
      <c r="J19" s="16"/>
    </row>
    <row r="20" ht="12" customHeight="1"/>
    <row r="21" spans="1:26" ht="12" customHeight="1">
      <c r="A21" s="8" t="s">
        <v>723</v>
      </c>
      <c r="B21" s="2"/>
      <c r="C21" s="2"/>
      <c r="D21" s="2"/>
      <c r="E21" s="2"/>
      <c r="F21" s="2"/>
      <c r="G21" s="2"/>
      <c r="H21" s="2"/>
      <c r="I21" s="2"/>
      <c r="J21" s="2"/>
      <c r="K21" s="2"/>
      <c r="S21" s="2"/>
      <c r="T21" s="2"/>
      <c r="U21" s="2"/>
      <c r="V21" s="2"/>
      <c r="W21" s="2"/>
      <c r="X21" s="2"/>
      <c r="Y21" s="2"/>
      <c r="Z21" s="461"/>
    </row>
    <row r="22" spans="1:26" ht="12.75">
      <c r="A22" s="1106" t="s">
        <v>858</v>
      </c>
      <c r="B22" s="1106"/>
      <c r="C22" s="1106"/>
      <c r="D22" s="1106"/>
      <c r="E22" s="1106"/>
      <c r="F22" s="1106"/>
      <c r="G22" s="1106"/>
      <c r="H22" s="1106"/>
      <c r="I22" s="1106"/>
      <c r="J22" s="1106"/>
      <c r="K22" s="1106"/>
      <c r="L22" s="1106"/>
      <c r="M22" s="1106"/>
      <c r="N22" s="1106"/>
      <c r="O22" s="1106"/>
      <c r="P22" s="1106"/>
      <c r="Q22" s="1106"/>
      <c r="R22" s="1106"/>
      <c r="S22" s="1106"/>
      <c r="T22" s="1106"/>
      <c r="U22" s="1106"/>
      <c r="V22" s="1106"/>
      <c r="W22" s="1106"/>
      <c r="X22" s="1106"/>
      <c r="Y22" s="1106"/>
      <c r="Z22" s="1106"/>
    </row>
    <row r="23" spans="1:26" ht="12.75">
      <c r="A23" s="1106" t="s">
        <v>859</v>
      </c>
      <c r="B23" s="1106"/>
      <c r="C23" s="1106"/>
      <c r="D23" s="1106"/>
      <c r="E23" s="1106"/>
      <c r="F23" s="1106"/>
      <c r="G23" s="1106"/>
      <c r="H23" s="1106"/>
      <c r="I23" s="1106"/>
      <c r="J23" s="1106"/>
      <c r="K23" s="1106"/>
      <c r="L23" s="1106"/>
      <c r="M23" s="1106"/>
      <c r="N23" s="1106"/>
      <c r="O23" s="1106"/>
      <c r="P23" s="1106"/>
      <c r="Q23" s="1106"/>
      <c r="R23" s="1106"/>
      <c r="S23" s="1106"/>
      <c r="T23" s="1106"/>
      <c r="U23" s="1106"/>
      <c r="V23" s="1106"/>
      <c r="W23" s="1106"/>
      <c r="X23" s="1106"/>
      <c r="Y23" s="1106"/>
      <c r="Z23" s="1106"/>
    </row>
  </sheetData>
  <sheetProtection/>
  <mergeCells count="5">
    <mergeCell ref="A1:Z1"/>
    <mergeCell ref="A3:Z3"/>
    <mergeCell ref="A4:Z4"/>
    <mergeCell ref="A22:Z22"/>
    <mergeCell ref="A23:Z23"/>
  </mergeCells>
  <printOptions horizontalCentered="1"/>
  <pageMargins left="0.7874015748031497" right="0.7874015748031497" top="0.984251968503937" bottom="0.984251968503937" header="0" footer="0"/>
  <pageSetup fitToHeight="1" fitToWidth="1" horizontalDpi="600" verticalDpi="600" orientation="landscape" scale="45"/>
</worksheet>
</file>

<file path=xl/worksheets/sheet2.xml><?xml version="1.0" encoding="utf-8"?>
<worksheet xmlns="http://schemas.openxmlformats.org/spreadsheetml/2006/main" xmlns:r="http://schemas.openxmlformats.org/officeDocument/2006/relationships">
  <sheetPr>
    <tabColor rgb="FF660066"/>
    <pageSetUpPr fitToPage="1"/>
  </sheetPr>
  <dimension ref="A1:AA24"/>
  <sheetViews>
    <sheetView zoomScale="90" zoomScaleNormal="90" zoomScalePageLayoutView="0" workbookViewId="0" topLeftCell="A1">
      <selection activeCell="A7" sqref="A7"/>
    </sheetView>
  </sheetViews>
  <sheetFormatPr defaultColWidth="10.8515625" defaultRowHeight="12.75"/>
  <cols>
    <col min="1" max="1" width="20.8515625" style="2" customWidth="1"/>
    <col min="2" max="17" width="10.8515625" style="2" customWidth="1"/>
    <col min="18" max="19" width="10.8515625" style="0" customWidth="1"/>
    <col min="20" max="23" width="10.8515625" style="2" customWidth="1"/>
    <col min="24" max="24" width="10.8515625" style="386" customWidth="1"/>
    <col min="25" max="25" width="10.8515625" style="461" customWidth="1"/>
    <col min="26" max="16384" width="10.8515625" style="2" customWidth="1"/>
  </cols>
  <sheetData>
    <row r="1" spans="1:25" ht="12.75">
      <c r="A1" s="1108" t="s">
        <v>39</v>
      </c>
      <c r="B1" s="1108"/>
      <c r="C1" s="1108"/>
      <c r="D1" s="1108"/>
      <c r="E1" s="1108"/>
      <c r="F1" s="1108"/>
      <c r="G1" s="1108"/>
      <c r="H1" s="1108"/>
      <c r="I1" s="1108"/>
      <c r="J1" s="1108"/>
      <c r="K1" s="1108"/>
      <c r="L1" s="1108"/>
      <c r="M1" s="1108"/>
      <c r="N1" s="1108"/>
      <c r="O1" s="1108"/>
      <c r="P1" s="1108"/>
      <c r="Q1" s="1108"/>
      <c r="R1" s="1108"/>
      <c r="S1" s="1108"/>
      <c r="T1" s="1108"/>
      <c r="U1" s="1108"/>
      <c r="V1" s="1108"/>
      <c r="W1" s="1108"/>
      <c r="X1" s="1108"/>
      <c r="Y1" s="1108"/>
    </row>
    <row r="3" spans="1:25" s="1" customFormat="1" ht="18" customHeight="1">
      <c r="A3" s="1109" t="s">
        <v>544</v>
      </c>
      <c r="B3" s="1109"/>
      <c r="C3" s="1109"/>
      <c r="D3" s="1109"/>
      <c r="E3" s="1109"/>
      <c r="F3" s="1109"/>
      <c r="G3" s="1109"/>
      <c r="H3" s="1109"/>
      <c r="I3" s="1109"/>
      <c r="J3" s="1109"/>
      <c r="K3" s="1109"/>
      <c r="L3" s="1109"/>
      <c r="M3" s="1109"/>
      <c r="N3" s="1109"/>
      <c r="O3" s="1109"/>
      <c r="P3" s="1109"/>
      <c r="Q3" s="1109"/>
      <c r="R3" s="1109"/>
      <c r="S3" s="1109"/>
      <c r="T3" s="1109"/>
      <c r="U3" s="1109"/>
      <c r="V3" s="1109"/>
      <c r="W3" s="1109"/>
      <c r="X3" s="1109"/>
      <c r="Y3" s="1110"/>
    </row>
    <row r="4" spans="1:25" s="1" customFormat="1" ht="18" customHeight="1">
      <c r="A4" s="1111" t="s">
        <v>778</v>
      </c>
      <c r="B4" s="1111"/>
      <c r="C4" s="1111"/>
      <c r="D4" s="1111"/>
      <c r="E4" s="1111"/>
      <c r="F4" s="1111"/>
      <c r="G4" s="1111"/>
      <c r="H4" s="1111"/>
      <c r="I4" s="1111"/>
      <c r="J4" s="1111"/>
      <c r="K4" s="1111"/>
      <c r="L4" s="1111"/>
      <c r="M4" s="1111"/>
      <c r="N4" s="1111"/>
      <c r="O4" s="1111"/>
      <c r="P4" s="1111"/>
      <c r="Q4" s="1111"/>
      <c r="R4" s="1111"/>
      <c r="S4" s="1111"/>
      <c r="T4" s="1111"/>
      <c r="U4" s="1111"/>
      <c r="V4" s="1111"/>
      <c r="W4" s="1111"/>
      <c r="X4" s="1111"/>
      <c r="Y4" s="1112"/>
    </row>
    <row r="5" spans="2:12" ht="18" customHeight="1">
      <c r="B5" s="3"/>
      <c r="C5" s="3"/>
      <c r="D5" s="3"/>
      <c r="E5" s="3"/>
      <c r="F5" s="3"/>
      <c r="G5" s="3"/>
      <c r="H5" s="3"/>
      <c r="I5" s="3"/>
      <c r="J5" s="3"/>
      <c r="K5" s="3"/>
      <c r="L5" s="3"/>
    </row>
    <row r="6" spans="1:25" s="4" customFormat="1" ht="18" customHeight="1">
      <c r="A6" s="50"/>
      <c r="B6" s="171" t="s">
        <v>40</v>
      </c>
      <c r="C6" s="171" t="s">
        <v>41</v>
      </c>
      <c r="D6" s="171" t="s">
        <v>42</v>
      </c>
      <c r="E6" s="171" t="s">
        <v>43</v>
      </c>
      <c r="F6" s="171" t="s">
        <v>44</v>
      </c>
      <c r="G6" s="171" t="s">
        <v>45</v>
      </c>
      <c r="H6" s="171" t="s">
        <v>46</v>
      </c>
      <c r="I6" s="171" t="s">
        <v>47</v>
      </c>
      <c r="J6" s="171" t="s">
        <v>48</v>
      </c>
      <c r="K6" s="171" t="s">
        <v>49</v>
      </c>
      <c r="L6" s="171" t="s">
        <v>50</v>
      </c>
      <c r="M6" s="171" t="s">
        <v>51</v>
      </c>
      <c r="N6" s="171" t="s">
        <v>52</v>
      </c>
      <c r="O6" s="171" t="s">
        <v>53</v>
      </c>
      <c r="P6" s="171" t="s">
        <v>54</v>
      </c>
      <c r="Q6" s="171" t="s">
        <v>55</v>
      </c>
      <c r="R6" s="171" t="s">
        <v>513</v>
      </c>
      <c r="S6" s="171" t="s">
        <v>542</v>
      </c>
      <c r="T6" s="171" t="s">
        <v>562</v>
      </c>
      <c r="U6" s="171" t="s">
        <v>651</v>
      </c>
      <c r="V6" s="171" t="s">
        <v>663</v>
      </c>
      <c r="W6" s="171" t="s">
        <v>690</v>
      </c>
      <c r="X6" s="992" t="s">
        <v>733</v>
      </c>
      <c r="Y6" s="931" t="s">
        <v>784</v>
      </c>
    </row>
    <row r="7" spans="1:27" s="5" customFormat="1" ht="18" customHeight="1">
      <c r="A7" s="172" t="s">
        <v>56</v>
      </c>
      <c r="B7" s="172">
        <v>114105</v>
      </c>
      <c r="C7" s="172">
        <v>69409</v>
      </c>
      <c r="D7" s="172">
        <v>84362</v>
      </c>
      <c r="E7" s="172">
        <v>100610</v>
      </c>
      <c r="F7" s="172">
        <v>115084</v>
      </c>
      <c r="G7" s="172">
        <v>123709</v>
      </c>
      <c r="H7" s="172">
        <v>134415</v>
      </c>
      <c r="I7" s="172">
        <v>139838</v>
      </c>
      <c r="J7" s="172">
        <v>141547</v>
      </c>
      <c r="K7" s="172">
        <v>147126</v>
      </c>
      <c r="L7" s="172">
        <v>155033</v>
      </c>
      <c r="M7" s="172">
        <v>155221</v>
      </c>
      <c r="N7" s="172">
        <v>155226</v>
      </c>
      <c r="O7" s="172">
        <v>156844</v>
      </c>
      <c r="P7" s="172">
        <v>160546</v>
      </c>
      <c r="Q7" s="172">
        <v>161753</v>
      </c>
      <c r="R7" s="187">
        <v>174279</v>
      </c>
      <c r="S7" s="187">
        <v>182880</v>
      </c>
      <c r="T7" s="172">
        <v>185912</v>
      </c>
      <c r="U7" s="172">
        <v>178147</v>
      </c>
      <c r="V7" s="172">
        <v>175286</v>
      </c>
      <c r="W7" s="172">
        <v>165106</v>
      </c>
      <c r="X7" s="388">
        <v>153105</v>
      </c>
      <c r="Y7" s="932">
        <v>160185</v>
      </c>
      <c r="Z7" s="4"/>
      <c r="AA7" s="4"/>
    </row>
    <row r="8" spans="1:27" s="5" customFormat="1" ht="18" customHeight="1">
      <c r="A8" s="172" t="s">
        <v>57</v>
      </c>
      <c r="B8" s="172">
        <v>34906</v>
      </c>
      <c r="C8" s="172">
        <v>33438</v>
      </c>
      <c r="D8" s="172">
        <v>34065</v>
      </c>
      <c r="E8" s="172">
        <v>34716</v>
      </c>
      <c r="F8" s="172">
        <v>34736</v>
      </c>
      <c r="G8" s="172">
        <v>34828</v>
      </c>
      <c r="H8" s="172">
        <v>34639</v>
      </c>
      <c r="I8" s="172">
        <v>33771</v>
      </c>
      <c r="J8" s="172">
        <v>34384</v>
      </c>
      <c r="K8" s="172">
        <v>35046</v>
      </c>
      <c r="L8" s="172">
        <v>34854</v>
      </c>
      <c r="M8" s="172">
        <v>34491</v>
      </c>
      <c r="N8" s="172">
        <v>35638</v>
      </c>
      <c r="O8" s="172">
        <v>35909</v>
      </c>
      <c r="P8" s="172">
        <v>35898</v>
      </c>
      <c r="Q8" s="172">
        <v>34784</v>
      </c>
      <c r="R8" s="187">
        <v>35469</v>
      </c>
      <c r="S8" s="187">
        <v>35978</v>
      </c>
      <c r="T8" s="172">
        <v>36855</v>
      </c>
      <c r="U8" s="172">
        <v>33986</v>
      </c>
      <c r="V8" s="172">
        <v>34642</v>
      </c>
      <c r="W8" s="172">
        <v>34358</v>
      </c>
      <c r="X8" s="388">
        <v>33859</v>
      </c>
      <c r="Y8" s="932">
        <v>33728</v>
      </c>
      <c r="Z8" s="4"/>
      <c r="AA8" s="4"/>
    </row>
    <row r="9" spans="19:27" s="314" customFormat="1" ht="12.75">
      <c r="S9"/>
      <c r="T9" s="2"/>
      <c r="U9" s="2"/>
      <c r="V9" s="2"/>
      <c r="W9" s="2"/>
      <c r="X9" s="386"/>
      <c r="Y9" s="461"/>
      <c r="Z9" s="4"/>
      <c r="AA9" s="4"/>
    </row>
    <row r="10" spans="1:27" ht="12.75">
      <c r="A10" s="6" t="s">
        <v>58</v>
      </c>
      <c r="B10" s="7"/>
      <c r="C10" s="7"/>
      <c r="D10" s="7"/>
      <c r="E10" s="7"/>
      <c r="F10" s="7"/>
      <c r="G10" s="7"/>
      <c r="H10" s="7"/>
      <c r="I10" s="7"/>
      <c r="J10" s="7"/>
      <c r="K10" s="7"/>
      <c r="L10" s="7"/>
      <c r="Z10" s="4"/>
      <c r="AA10" s="4"/>
    </row>
    <row r="11" spans="1:27" ht="12.75">
      <c r="A11" s="6" t="s">
        <v>543</v>
      </c>
      <c r="B11" s="32"/>
      <c r="C11" s="32"/>
      <c r="D11" s="32"/>
      <c r="E11" s="32"/>
      <c r="F11" s="32"/>
      <c r="G11" s="32"/>
      <c r="H11" s="32"/>
      <c r="I11" s="32"/>
      <c r="J11" s="32"/>
      <c r="K11" s="32"/>
      <c r="L11" s="32"/>
      <c r="Z11" s="4"/>
      <c r="AA11" s="4"/>
    </row>
    <row r="12" spans="1:27" s="314" customFormat="1" ht="12.75">
      <c r="A12" s="315"/>
      <c r="B12" s="315"/>
      <c r="C12" s="315"/>
      <c r="D12" s="315"/>
      <c r="E12" s="315"/>
      <c r="F12" s="315"/>
      <c r="G12" s="315"/>
      <c r="H12" s="315"/>
      <c r="I12" s="315"/>
      <c r="J12" s="315"/>
      <c r="K12" s="315"/>
      <c r="L12" s="315"/>
      <c r="S12"/>
      <c r="T12" s="2"/>
      <c r="U12" s="2"/>
      <c r="V12" s="2"/>
      <c r="W12" s="2"/>
      <c r="X12" s="386"/>
      <c r="Y12" s="461"/>
      <c r="Z12" s="4"/>
      <c r="AA12" s="4"/>
    </row>
    <row r="13" spans="1:27" ht="12.75">
      <c r="A13" s="8" t="s">
        <v>59</v>
      </c>
      <c r="B13" s="31"/>
      <c r="C13" s="31"/>
      <c r="D13" s="31"/>
      <c r="E13" s="31"/>
      <c r="F13" s="31"/>
      <c r="G13" s="31"/>
      <c r="H13" s="31"/>
      <c r="I13" s="31"/>
      <c r="J13" s="31"/>
      <c r="K13" s="31"/>
      <c r="L13" s="31"/>
      <c r="Z13" s="4"/>
      <c r="AA13" s="4"/>
    </row>
    <row r="14" spans="1:27" ht="12.75">
      <c r="A14" s="1106" t="s">
        <v>795</v>
      </c>
      <c r="B14" s="1106"/>
      <c r="C14" s="1106"/>
      <c r="D14" s="1106"/>
      <c r="E14" s="1106"/>
      <c r="F14" s="1106"/>
      <c r="G14" s="1106"/>
      <c r="H14" s="1106"/>
      <c r="I14" s="1106"/>
      <c r="J14" s="1106"/>
      <c r="K14" s="1106"/>
      <c r="L14" s="1106"/>
      <c r="M14" s="1106"/>
      <c r="N14" s="1106"/>
      <c r="O14" s="1106"/>
      <c r="P14" s="1106"/>
      <c r="Q14" s="1106"/>
      <c r="R14" s="1106"/>
      <c r="S14" s="1106"/>
      <c r="T14" s="1106"/>
      <c r="U14" s="1106"/>
      <c r="V14" s="1106"/>
      <c r="W14" s="1106"/>
      <c r="X14" s="1106"/>
      <c r="Y14" s="1107"/>
      <c r="Z14" s="4"/>
      <c r="AA14" s="4"/>
    </row>
    <row r="15" spans="1:27" ht="12.75">
      <c r="A15" s="1106" t="s">
        <v>794</v>
      </c>
      <c r="B15" s="1106"/>
      <c r="C15" s="1106"/>
      <c r="D15" s="1106"/>
      <c r="E15" s="1106"/>
      <c r="F15" s="1106"/>
      <c r="G15" s="1106"/>
      <c r="H15" s="1106"/>
      <c r="I15" s="1106"/>
      <c r="J15" s="1106"/>
      <c r="K15" s="1106"/>
      <c r="L15" s="1106"/>
      <c r="M15" s="1106"/>
      <c r="N15" s="1106"/>
      <c r="O15" s="1106"/>
      <c r="P15" s="1106"/>
      <c r="Q15" s="1106"/>
      <c r="R15" s="1106"/>
      <c r="S15" s="1106"/>
      <c r="T15" s="1106"/>
      <c r="U15" s="1106"/>
      <c r="V15" s="1106"/>
      <c r="W15" s="1106"/>
      <c r="X15" s="1106"/>
      <c r="Y15" s="1107"/>
      <c r="Z15" s="4"/>
      <c r="AA15" s="4"/>
    </row>
    <row r="16" spans="19:27" s="314" customFormat="1" ht="12.75">
      <c r="S16"/>
      <c r="T16" s="2"/>
      <c r="U16" s="2"/>
      <c r="V16" s="2"/>
      <c r="W16" s="2"/>
      <c r="X16" s="386"/>
      <c r="Y16" s="461"/>
      <c r="Z16" s="4"/>
      <c r="AA16" s="4"/>
    </row>
    <row r="17" spans="26:27" ht="12.75">
      <c r="Z17" s="4"/>
      <c r="AA17" s="4"/>
    </row>
    <row r="18" spans="26:27" ht="12.75">
      <c r="Z18" s="4"/>
      <c r="AA18" s="4"/>
    </row>
    <row r="19" spans="26:27" ht="12.75">
      <c r="Z19" s="4"/>
      <c r="AA19" s="4"/>
    </row>
    <row r="20" spans="26:27" ht="12.75">
      <c r="Z20" s="4"/>
      <c r="AA20" s="4"/>
    </row>
    <row r="21" spans="26:27" ht="12.75">
      <c r="Z21" s="4"/>
      <c r="AA21" s="4"/>
    </row>
    <row r="22" spans="26:27" ht="12.75">
      <c r="Z22" s="4"/>
      <c r="AA22" s="4"/>
    </row>
    <row r="23" spans="26:27" ht="12.75">
      <c r="Z23" s="4"/>
      <c r="AA23" s="4"/>
    </row>
    <row r="24" spans="26:27" ht="12.75">
      <c r="Z24" s="4"/>
      <c r="AA24" s="4"/>
    </row>
    <row r="26" ht="12.75"/>
    <row r="27" ht="12.75"/>
    <row r="28" ht="12.75"/>
    <row r="29" ht="12.75"/>
    <row r="30" ht="12.75"/>
  </sheetData>
  <sheetProtection/>
  <mergeCells count="5">
    <mergeCell ref="A15:Y15"/>
    <mergeCell ref="A1:Y1"/>
    <mergeCell ref="A3:Y3"/>
    <mergeCell ref="A4:Y4"/>
    <mergeCell ref="A14:Y14"/>
  </mergeCells>
  <printOptions horizontalCentered="1"/>
  <pageMargins left="0.7874015748031497" right="0.7874015748031497" top="0.984251968503937" bottom="0.984251968503937" header="0" footer="0"/>
  <pageSetup fitToHeight="1" fitToWidth="1" horizontalDpi="600" verticalDpi="600" orientation="landscape" scale="45"/>
</worksheet>
</file>

<file path=xl/worksheets/sheet20.xml><?xml version="1.0" encoding="utf-8"?>
<worksheet xmlns="http://schemas.openxmlformats.org/spreadsheetml/2006/main" xmlns:r="http://schemas.openxmlformats.org/officeDocument/2006/relationships">
  <sheetPr>
    <tabColor theme="9" tint="-0.24997000396251678"/>
    <pageSetUpPr fitToPage="1"/>
  </sheetPr>
  <dimension ref="A1:Z16"/>
  <sheetViews>
    <sheetView zoomScalePageLayoutView="0" workbookViewId="0" topLeftCell="A1">
      <pane xSplit="1" ySplit="6" topLeftCell="R7" activePane="bottomRight" state="frozen"/>
      <selection pane="topLeft" activeCell="A1" sqref="A1:Z1"/>
      <selection pane="topRight" activeCell="A1" sqref="A1:Z1"/>
      <selection pane="bottomLeft" activeCell="A1" sqref="A1:Z1"/>
      <selection pane="bottomRight" activeCell="A1" sqref="A1:Z1"/>
    </sheetView>
  </sheetViews>
  <sheetFormatPr defaultColWidth="10.8515625" defaultRowHeight="12.75"/>
  <cols>
    <col min="1" max="1" width="41.7109375" style="5" customWidth="1"/>
    <col min="2" max="10" width="10.421875" style="5" customWidth="1"/>
    <col min="11" max="18" width="10.140625" style="17" customWidth="1"/>
    <col min="19" max="25" width="10.140625" style="5" customWidth="1"/>
    <col min="26" max="26" width="10.140625" style="473" customWidth="1"/>
    <col min="27" max="16384" width="10.8515625" style="17" customWidth="1"/>
  </cols>
  <sheetData>
    <row r="1" spans="1:26" ht="12.75">
      <c r="A1" s="1176" t="s">
        <v>190</v>
      </c>
      <c r="B1" s="1176"/>
      <c r="C1" s="1176"/>
      <c r="D1" s="1176"/>
      <c r="E1" s="1176"/>
      <c r="F1" s="1176"/>
      <c r="G1" s="1176"/>
      <c r="H1" s="1176"/>
      <c r="I1" s="1176"/>
      <c r="J1" s="1176"/>
      <c r="K1" s="1176"/>
      <c r="L1" s="1176"/>
      <c r="M1" s="1176"/>
      <c r="N1" s="1176"/>
      <c r="O1" s="1176"/>
      <c r="P1" s="1176"/>
      <c r="Q1" s="1176"/>
      <c r="R1" s="1176"/>
      <c r="S1" s="1176"/>
      <c r="T1" s="1176"/>
      <c r="U1" s="1176"/>
      <c r="V1" s="1176"/>
      <c r="W1" s="1176"/>
      <c r="X1" s="1176"/>
      <c r="Y1" s="1176"/>
      <c r="Z1" s="1114"/>
    </row>
    <row r="3" spans="1:26" ht="18" customHeight="1">
      <c r="A3" s="1109" t="s">
        <v>12</v>
      </c>
      <c r="B3" s="1109"/>
      <c r="C3" s="1109"/>
      <c r="D3" s="1109"/>
      <c r="E3" s="1109"/>
      <c r="F3" s="1109"/>
      <c r="G3" s="1109"/>
      <c r="H3" s="1109"/>
      <c r="I3" s="1109"/>
      <c r="J3" s="1109"/>
      <c r="K3" s="1109"/>
      <c r="L3" s="1109"/>
      <c r="M3" s="1109"/>
      <c r="N3" s="1109"/>
      <c r="O3" s="1109"/>
      <c r="P3" s="1109"/>
      <c r="Q3" s="1109"/>
      <c r="R3" s="1109"/>
      <c r="S3" s="1109"/>
      <c r="T3" s="1109"/>
      <c r="U3" s="1109"/>
      <c r="V3" s="1109"/>
      <c r="W3" s="1109"/>
      <c r="X3" s="1109"/>
      <c r="Y3" s="1109"/>
      <c r="Z3" s="1110"/>
    </row>
    <row r="4" spans="1:26" ht="18" customHeight="1">
      <c r="A4" s="1111" t="s">
        <v>851</v>
      </c>
      <c r="B4" s="1111"/>
      <c r="C4" s="1111"/>
      <c r="D4" s="1111"/>
      <c r="E4" s="1111"/>
      <c r="F4" s="1111"/>
      <c r="G4" s="1111"/>
      <c r="H4" s="1111"/>
      <c r="I4" s="1111"/>
      <c r="J4" s="1111"/>
      <c r="K4" s="1111"/>
      <c r="L4" s="1111"/>
      <c r="M4" s="1111"/>
      <c r="N4" s="1111"/>
      <c r="O4" s="1111"/>
      <c r="P4" s="1111"/>
      <c r="Q4" s="1111"/>
      <c r="R4" s="1111"/>
      <c r="S4" s="1111"/>
      <c r="T4" s="1111"/>
      <c r="U4" s="1111"/>
      <c r="V4" s="1111"/>
      <c r="W4" s="1111"/>
      <c r="X4" s="1111"/>
      <c r="Y4" s="1111"/>
      <c r="Z4" s="1112"/>
    </row>
    <row r="5" spans="2:10" ht="18" customHeight="1">
      <c r="B5" s="22"/>
      <c r="C5" s="22"/>
      <c r="D5" s="22"/>
      <c r="E5" s="22"/>
      <c r="F5" s="22"/>
      <c r="G5" s="22"/>
      <c r="H5" s="22"/>
      <c r="I5" s="22"/>
      <c r="J5" s="22"/>
    </row>
    <row r="6" spans="1:26" s="11" customFormat="1" ht="18" customHeight="1">
      <c r="A6" s="19"/>
      <c r="B6" s="290">
        <v>2000</v>
      </c>
      <c r="C6" s="290">
        <v>2001</v>
      </c>
      <c r="D6" s="290">
        <v>2002</v>
      </c>
      <c r="E6" s="290">
        <v>2003</v>
      </c>
      <c r="F6" s="290">
        <v>2004</v>
      </c>
      <c r="G6" s="290">
        <v>2005</v>
      </c>
      <c r="H6" s="290">
        <v>2006</v>
      </c>
      <c r="I6" s="290">
        <v>2007</v>
      </c>
      <c r="J6" s="290">
        <v>2008</v>
      </c>
      <c r="K6" s="290">
        <v>2009</v>
      </c>
      <c r="L6" s="290">
        <v>2010</v>
      </c>
      <c r="M6" s="290">
        <v>2011</v>
      </c>
      <c r="N6" s="290">
        <v>2012</v>
      </c>
      <c r="O6" s="290">
        <v>2013</v>
      </c>
      <c r="P6" s="290">
        <v>2014</v>
      </c>
      <c r="Q6" s="290">
        <v>2015</v>
      </c>
      <c r="R6" s="290">
        <v>2016</v>
      </c>
      <c r="S6" s="290">
        <v>2017</v>
      </c>
      <c r="T6" s="290">
        <v>2018</v>
      </c>
      <c r="U6" s="290">
        <v>2019</v>
      </c>
      <c r="V6" s="290">
        <v>2020</v>
      </c>
      <c r="W6" s="290">
        <v>2021</v>
      </c>
      <c r="X6" s="290">
        <v>2022</v>
      </c>
      <c r="Y6" s="290">
        <v>2023</v>
      </c>
      <c r="Z6" s="463">
        <v>2024</v>
      </c>
    </row>
    <row r="7" spans="1:26" ht="18" customHeight="1">
      <c r="A7" s="176" t="s">
        <v>178</v>
      </c>
      <c r="B7" s="177">
        <f aca="true" t="shared" si="0" ref="B7:L7">SUM(B8:B12)</f>
        <v>9849</v>
      </c>
      <c r="C7" s="177">
        <f t="shared" si="0"/>
        <v>10190</v>
      </c>
      <c r="D7" s="177">
        <f t="shared" si="0"/>
        <v>10481</v>
      </c>
      <c r="E7" s="177">
        <f t="shared" si="0"/>
        <v>10560</v>
      </c>
      <c r="F7" s="177">
        <f t="shared" si="0"/>
        <v>10795</v>
      </c>
      <c r="G7" s="177">
        <f t="shared" si="0"/>
        <v>11001</v>
      </c>
      <c r="H7" s="177">
        <f t="shared" si="0"/>
        <v>11190</v>
      </c>
      <c r="I7" s="177">
        <f t="shared" si="0"/>
        <v>11363</v>
      </c>
      <c r="J7" s="177">
        <f t="shared" si="0"/>
        <v>11426</v>
      </c>
      <c r="K7" s="177">
        <f t="shared" si="0"/>
        <v>11536</v>
      </c>
      <c r="L7" s="177">
        <f t="shared" si="0"/>
        <v>11668</v>
      </c>
      <c r="M7" s="177">
        <f>SUM(M8:M12)</f>
        <v>11693</v>
      </c>
      <c r="N7" s="177">
        <f>SUM(N8:N12)</f>
        <v>11805</v>
      </c>
      <c r="O7" s="177">
        <f>SUM(O8:O12)</f>
        <v>11889</v>
      </c>
      <c r="P7" s="177">
        <f>SUM(P8:P12)</f>
        <v>11804</v>
      </c>
      <c r="Q7" s="177">
        <f aca="true" t="shared" si="1" ref="Q7:W7">SUM(Q8:Q12)</f>
        <v>11984</v>
      </c>
      <c r="R7" s="177">
        <f t="shared" si="1"/>
        <v>12172</v>
      </c>
      <c r="S7" s="177">
        <f t="shared" si="1"/>
        <v>12292</v>
      </c>
      <c r="T7" s="177">
        <f t="shared" si="1"/>
        <v>12395</v>
      </c>
      <c r="U7" s="177">
        <f t="shared" si="1"/>
        <v>12368</v>
      </c>
      <c r="V7" s="177">
        <f t="shared" si="1"/>
        <v>12438</v>
      </c>
      <c r="W7" s="177">
        <f t="shared" si="1"/>
        <v>12532</v>
      </c>
      <c r="X7" s="177">
        <f>SUM(X8:X12)</f>
        <v>12525</v>
      </c>
      <c r="Y7" s="177">
        <f>SUM(Y8:Y12)</f>
        <v>12525</v>
      </c>
      <c r="Z7" s="891">
        <f>SUM(Z8:Z12)</f>
        <v>12465</v>
      </c>
    </row>
    <row r="8" spans="1:26" s="5" customFormat="1" ht="18" customHeight="1">
      <c r="A8" s="174" t="s">
        <v>191</v>
      </c>
      <c r="B8" s="181">
        <v>4768</v>
      </c>
      <c r="C8" s="181">
        <v>4851</v>
      </c>
      <c r="D8" s="181">
        <v>5042</v>
      </c>
      <c r="E8" s="181">
        <v>5069</v>
      </c>
      <c r="F8" s="181">
        <v>5115</v>
      </c>
      <c r="G8" s="181">
        <v>5163</v>
      </c>
      <c r="H8" s="181">
        <v>5209</v>
      </c>
      <c r="I8" s="181">
        <v>5236</v>
      </c>
      <c r="J8" s="181">
        <v>5220</v>
      </c>
      <c r="K8" s="181">
        <v>5243</v>
      </c>
      <c r="L8" s="181">
        <v>5273</v>
      </c>
      <c r="M8" s="181">
        <v>5254</v>
      </c>
      <c r="N8" s="181">
        <v>5313</v>
      </c>
      <c r="O8" s="181">
        <v>5345</v>
      </c>
      <c r="P8" s="181">
        <v>5246</v>
      </c>
      <c r="Q8" s="170">
        <v>5293</v>
      </c>
      <c r="R8" s="170">
        <v>5333</v>
      </c>
      <c r="S8" s="181">
        <v>5367</v>
      </c>
      <c r="T8" s="181">
        <v>5383</v>
      </c>
      <c r="U8" s="181">
        <v>5330</v>
      </c>
      <c r="V8" s="181">
        <v>5319</v>
      </c>
      <c r="W8" s="181">
        <v>5346</v>
      </c>
      <c r="X8" s="181">
        <v>5358</v>
      </c>
      <c r="Y8" s="181">
        <v>5339</v>
      </c>
      <c r="Z8" s="465">
        <v>5249</v>
      </c>
    </row>
    <row r="9" spans="1:26" s="5" customFormat="1" ht="18" customHeight="1">
      <c r="A9" s="204" t="s">
        <v>192</v>
      </c>
      <c r="B9" s="181">
        <v>2066</v>
      </c>
      <c r="C9" s="181">
        <v>2133</v>
      </c>
      <c r="D9" s="181">
        <v>2157</v>
      </c>
      <c r="E9" s="181">
        <v>2164</v>
      </c>
      <c r="F9" s="181">
        <v>2224</v>
      </c>
      <c r="G9" s="181">
        <v>2260</v>
      </c>
      <c r="H9" s="181">
        <v>2294</v>
      </c>
      <c r="I9" s="181">
        <v>2331</v>
      </c>
      <c r="J9" s="181">
        <v>2354</v>
      </c>
      <c r="K9" s="181">
        <v>2385</v>
      </c>
      <c r="L9" s="181">
        <v>2413</v>
      </c>
      <c r="M9" s="181">
        <v>2432</v>
      </c>
      <c r="N9" s="181">
        <v>2442</v>
      </c>
      <c r="O9" s="181">
        <v>2452</v>
      </c>
      <c r="P9" s="181">
        <v>2443</v>
      </c>
      <c r="Q9" s="170">
        <v>2545</v>
      </c>
      <c r="R9" s="170">
        <v>2586</v>
      </c>
      <c r="S9" s="181">
        <v>2610</v>
      </c>
      <c r="T9" s="181">
        <v>2654</v>
      </c>
      <c r="U9" s="181">
        <v>2640</v>
      </c>
      <c r="V9" s="181">
        <v>2685</v>
      </c>
      <c r="W9" s="181">
        <v>2723</v>
      </c>
      <c r="X9" s="181">
        <v>2712</v>
      </c>
      <c r="Y9" s="181">
        <v>2726</v>
      </c>
      <c r="Z9" s="465">
        <v>2714</v>
      </c>
    </row>
    <row r="10" spans="1:26" s="5" customFormat="1" ht="18" customHeight="1">
      <c r="A10" s="204" t="s">
        <v>193</v>
      </c>
      <c r="B10" s="181">
        <v>1279</v>
      </c>
      <c r="C10" s="181">
        <v>1405</v>
      </c>
      <c r="D10" s="181">
        <v>1450</v>
      </c>
      <c r="E10" s="181">
        <v>1507</v>
      </c>
      <c r="F10" s="181">
        <v>1575</v>
      </c>
      <c r="G10" s="181">
        <v>1650</v>
      </c>
      <c r="H10" s="181">
        <v>1706</v>
      </c>
      <c r="I10" s="181">
        <v>1780</v>
      </c>
      <c r="J10" s="181">
        <v>1834</v>
      </c>
      <c r="K10" s="181">
        <v>1876</v>
      </c>
      <c r="L10" s="181">
        <v>1916</v>
      </c>
      <c r="M10" s="181">
        <v>1924</v>
      </c>
      <c r="N10" s="181">
        <v>1938</v>
      </c>
      <c r="O10" s="181">
        <v>1945</v>
      </c>
      <c r="P10" s="181">
        <v>1969</v>
      </c>
      <c r="Q10" s="170">
        <v>1962</v>
      </c>
      <c r="R10" s="170">
        <v>2024</v>
      </c>
      <c r="S10" s="181">
        <v>2049</v>
      </c>
      <c r="T10" s="181">
        <v>2052</v>
      </c>
      <c r="U10" s="181">
        <v>2070</v>
      </c>
      <c r="V10" s="181">
        <v>2068</v>
      </c>
      <c r="W10" s="181">
        <v>2079</v>
      </c>
      <c r="X10" s="181">
        <v>2098</v>
      </c>
      <c r="Y10" s="181">
        <v>2103</v>
      </c>
      <c r="Z10" s="465">
        <v>2110</v>
      </c>
    </row>
    <row r="11" spans="1:26" s="5" customFormat="1" ht="18" customHeight="1">
      <c r="A11" s="174" t="s">
        <v>194</v>
      </c>
      <c r="B11" s="181">
        <v>1728</v>
      </c>
      <c r="C11" s="181">
        <v>1793</v>
      </c>
      <c r="D11" s="181">
        <v>1824</v>
      </c>
      <c r="E11" s="181">
        <v>1813</v>
      </c>
      <c r="F11" s="181">
        <v>1875</v>
      </c>
      <c r="G11" s="181">
        <v>1922</v>
      </c>
      <c r="H11" s="181">
        <v>1976</v>
      </c>
      <c r="I11" s="181">
        <v>2011</v>
      </c>
      <c r="J11" s="181">
        <v>2014</v>
      </c>
      <c r="K11" s="181">
        <v>2030</v>
      </c>
      <c r="L11" s="181">
        <v>2064</v>
      </c>
      <c r="M11" s="181">
        <v>2081</v>
      </c>
      <c r="N11" s="181">
        <v>2110</v>
      </c>
      <c r="O11" s="181">
        <v>2145</v>
      </c>
      <c r="P11" s="181">
        <v>2144</v>
      </c>
      <c r="Q11" s="170">
        <v>2184</v>
      </c>
      <c r="R11" s="170">
        <v>2229</v>
      </c>
      <c r="S11" s="181">
        <v>2266</v>
      </c>
      <c r="T11" s="181">
        <v>2306</v>
      </c>
      <c r="U11" s="181">
        <v>2328</v>
      </c>
      <c r="V11" s="181">
        <v>2366</v>
      </c>
      <c r="W11" s="181">
        <v>2384</v>
      </c>
      <c r="X11" s="181">
        <v>2357</v>
      </c>
      <c r="Y11" s="181">
        <v>2357</v>
      </c>
      <c r="Z11" s="465">
        <v>2392</v>
      </c>
    </row>
    <row r="12" spans="1:26" s="5" customFormat="1" ht="18" customHeight="1">
      <c r="A12" s="174" t="s">
        <v>195</v>
      </c>
      <c r="B12" s="181">
        <v>8</v>
      </c>
      <c r="C12" s="181">
        <v>8</v>
      </c>
      <c r="D12" s="181">
        <v>8</v>
      </c>
      <c r="E12" s="181">
        <v>7</v>
      </c>
      <c r="F12" s="181">
        <v>6</v>
      </c>
      <c r="G12" s="181">
        <v>6</v>
      </c>
      <c r="H12" s="181">
        <v>5</v>
      </c>
      <c r="I12" s="181">
        <v>5</v>
      </c>
      <c r="J12" s="181">
        <v>4</v>
      </c>
      <c r="K12" s="181">
        <v>2</v>
      </c>
      <c r="L12" s="181">
        <v>2</v>
      </c>
      <c r="M12" s="181">
        <v>2</v>
      </c>
      <c r="N12" s="181">
        <v>2</v>
      </c>
      <c r="O12" s="181">
        <v>2</v>
      </c>
      <c r="P12" s="181">
        <v>2</v>
      </c>
      <c r="Q12" s="170">
        <v>0</v>
      </c>
      <c r="R12" s="170">
        <v>0</v>
      </c>
      <c r="S12" s="181">
        <v>0</v>
      </c>
      <c r="T12" s="181">
        <v>0</v>
      </c>
      <c r="U12" s="181">
        <v>0</v>
      </c>
      <c r="V12" s="181">
        <v>0</v>
      </c>
      <c r="W12" s="181">
        <v>0</v>
      </c>
      <c r="X12" s="181">
        <v>0</v>
      </c>
      <c r="Y12" s="181">
        <v>0</v>
      </c>
      <c r="Z12" s="465">
        <v>0</v>
      </c>
    </row>
    <row r="13" spans="2:8" ht="12.75" customHeight="1">
      <c r="B13" s="138"/>
      <c r="C13" s="138"/>
      <c r="D13" s="138"/>
      <c r="E13" s="138"/>
      <c r="F13" s="138"/>
      <c r="G13" s="138"/>
      <c r="H13" s="138"/>
    </row>
    <row r="14" ht="12.75">
      <c r="A14" s="8" t="s">
        <v>723</v>
      </c>
    </row>
    <row r="15" spans="1:26" ht="12.75">
      <c r="A15" s="1106" t="s">
        <v>858</v>
      </c>
      <c r="B15" s="1106"/>
      <c r="C15" s="1106"/>
      <c r="D15" s="1106"/>
      <c r="E15" s="1106"/>
      <c r="F15" s="1106"/>
      <c r="G15" s="1106"/>
      <c r="H15" s="1106"/>
      <c r="I15" s="1106"/>
      <c r="J15" s="1106"/>
      <c r="K15" s="1106"/>
      <c r="L15" s="1106"/>
      <c r="M15" s="1106"/>
      <c r="N15" s="1106"/>
      <c r="O15" s="1106"/>
      <c r="P15" s="1106"/>
      <c r="Q15" s="1106"/>
      <c r="R15" s="1106"/>
      <c r="S15" s="1106"/>
      <c r="T15" s="1106"/>
      <c r="U15" s="1106"/>
      <c r="V15" s="1106"/>
      <c r="W15" s="1106"/>
      <c r="X15" s="1106"/>
      <c r="Y15" s="1106"/>
      <c r="Z15" s="1106"/>
    </row>
    <row r="16" spans="1:26" ht="12.75">
      <c r="A16" s="1106" t="s">
        <v>859</v>
      </c>
      <c r="B16" s="1106"/>
      <c r="C16" s="1106"/>
      <c r="D16" s="1106"/>
      <c r="E16" s="1106"/>
      <c r="F16" s="1106"/>
      <c r="G16" s="1106"/>
      <c r="H16" s="1106"/>
      <c r="I16" s="1106"/>
      <c r="J16" s="1106"/>
      <c r="K16" s="1106"/>
      <c r="L16" s="1106"/>
      <c r="M16" s="1106"/>
      <c r="N16" s="1106"/>
      <c r="O16" s="1106"/>
      <c r="P16" s="1106"/>
      <c r="Q16" s="1106"/>
      <c r="R16" s="1106"/>
      <c r="S16" s="1106"/>
      <c r="T16" s="1106"/>
      <c r="U16" s="1106"/>
      <c r="V16" s="1106"/>
      <c r="W16" s="1106"/>
      <c r="X16" s="1106"/>
      <c r="Y16" s="1106"/>
      <c r="Z16" s="1106"/>
    </row>
  </sheetData>
  <sheetProtection/>
  <mergeCells count="5">
    <mergeCell ref="A1:Z1"/>
    <mergeCell ref="A3:Z3"/>
    <mergeCell ref="A4:Z4"/>
    <mergeCell ref="A15:Z15"/>
    <mergeCell ref="A16:Z16"/>
  </mergeCells>
  <printOptions horizontalCentered="1"/>
  <pageMargins left="0.7874015748031497" right="0.7874015748031497" top="0.984251968503937" bottom="0.984251968503937" header="0" footer="0"/>
  <pageSetup fitToHeight="1" fitToWidth="1" horizontalDpi="600" verticalDpi="600" orientation="landscape" scale="45" r:id="rId1"/>
</worksheet>
</file>

<file path=xl/worksheets/sheet21.xml><?xml version="1.0" encoding="utf-8"?>
<worksheet xmlns="http://schemas.openxmlformats.org/spreadsheetml/2006/main" xmlns:r="http://schemas.openxmlformats.org/officeDocument/2006/relationships">
  <sheetPr>
    <tabColor theme="9" tint="-0.24997000396251678"/>
    <pageSetUpPr fitToPage="1"/>
  </sheetPr>
  <dimension ref="A1:Z55"/>
  <sheetViews>
    <sheetView zoomScalePageLayoutView="0" workbookViewId="0" topLeftCell="A1">
      <pane xSplit="1" ySplit="6" topLeftCell="U7" activePane="bottomRight" state="frozen"/>
      <selection pane="topLeft" activeCell="A1" sqref="A1:X1"/>
      <selection pane="topRight" activeCell="A1" sqref="A1:X1"/>
      <selection pane="bottomLeft" activeCell="A1" sqref="A1:X1"/>
      <selection pane="bottomRight" activeCell="A1" sqref="A1:X1"/>
    </sheetView>
  </sheetViews>
  <sheetFormatPr defaultColWidth="10.8515625" defaultRowHeight="12.75"/>
  <cols>
    <col min="1" max="1" width="44.8515625" style="5" customWidth="1"/>
    <col min="2" max="16" width="9.7109375" style="5" customWidth="1"/>
    <col min="17" max="18" width="9.7109375" style="17" customWidth="1"/>
    <col min="19" max="25" width="9.7109375" style="5" customWidth="1"/>
    <col min="26" max="26" width="9.7109375" style="473" customWidth="1"/>
    <col min="27" max="16384" width="10.8515625" style="5" customWidth="1"/>
  </cols>
  <sheetData>
    <row r="1" spans="1:26" ht="12.75">
      <c r="A1" s="1175" t="s">
        <v>517</v>
      </c>
      <c r="B1" s="1176"/>
      <c r="C1" s="1176"/>
      <c r="D1" s="1176"/>
      <c r="E1" s="1176"/>
      <c r="F1" s="1176"/>
      <c r="G1" s="1176"/>
      <c r="H1" s="1176"/>
      <c r="I1" s="1176"/>
      <c r="J1" s="1176"/>
      <c r="K1" s="1176"/>
      <c r="L1" s="1176"/>
      <c r="M1" s="1176"/>
      <c r="N1" s="1176"/>
      <c r="O1" s="1176"/>
      <c r="P1" s="1176"/>
      <c r="Q1" s="1176"/>
      <c r="R1" s="1176"/>
      <c r="S1" s="1176"/>
      <c r="T1" s="1176"/>
      <c r="U1" s="1176"/>
      <c r="V1" s="1176"/>
      <c r="W1" s="1176"/>
      <c r="X1" s="1176"/>
      <c r="Y1" s="1176"/>
      <c r="Z1" s="1114"/>
    </row>
    <row r="3" spans="1:26" ht="18" customHeight="1">
      <c r="A3" s="1109" t="s">
        <v>13</v>
      </c>
      <c r="B3" s="1109"/>
      <c r="C3" s="1109"/>
      <c r="D3" s="1109"/>
      <c r="E3" s="1109"/>
      <c r="F3" s="1109"/>
      <c r="G3" s="1109"/>
      <c r="H3" s="1109"/>
      <c r="I3" s="1109"/>
      <c r="J3" s="1109"/>
      <c r="K3" s="1109"/>
      <c r="L3" s="1109"/>
      <c r="M3" s="1109"/>
      <c r="N3" s="1109"/>
      <c r="O3" s="1109"/>
      <c r="P3" s="1109"/>
      <c r="Q3" s="1109"/>
      <c r="R3" s="1109"/>
      <c r="S3" s="1109"/>
      <c r="T3" s="1109"/>
      <c r="U3" s="1109"/>
      <c r="V3" s="1109"/>
      <c r="W3" s="1109"/>
      <c r="X3" s="1109"/>
      <c r="Y3" s="1109"/>
      <c r="Z3" s="1110"/>
    </row>
    <row r="4" spans="1:26" ht="18" customHeight="1">
      <c r="A4" s="1111" t="s">
        <v>851</v>
      </c>
      <c r="B4" s="1111"/>
      <c r="C4" s="1111"/>
      <c r="D4" s="1111"/>
      <c r="E4" s="1111"/>
      <c r="F4" s="1111"/>
      <c r="G4" s="1111"/>
      <c r="H4" s="1111"/>
      <c r="I4" s="1111"/>
      <c r="J4" s="1111"/>
      <c r="K4" s="1111"/>
      <c r="L4" s="1111"/>
      <c r="M4" s="1111"/>
      <c r="N4" s="1111"/>
      <c r="O4" s="1111"/>
      <c r="P4" s="1111"/>
      <c r="Q4" s="1111"/>
      <c r="R4" s="1111"/>
      <c r="S4" s="1111"/>
      <c r="T4" s="1111"/>
      <c r="U4" s="1111"/>
      <c r="V4" s="1111"/>
      <c r="W4" s="1111"/>
      <c r="X4" s="1111"/>
      <c r="Y4" s="1111"/>
      <c r="Z4" s="1112"/>
    </row>
    <row r="5" spans="2:10" ht="18" customHeight="1">
      <c r="B5" s="23"/>
      <c r="C5" s="23"/>
      <c r="D5" s="23"/>
      <c r="E5" s="23"/>
      <c r="F5" s="23"/>
      <c r="G5" s="23"/>
      <c r="H5" s="23"/>
      <c r="I5" s="23"/>
      <c r="J5" s="23"/>
    </row>
    <row r="6" spans="1:26" s="11" customFormat="1" ht="18" customHeight="1">
      <c r="A6" s="19"/>
      <c r="B6" s="290">
        <v>2000</v>
      </c>
      <c r="C6" s="290">
        <v>2001</v>
      </c>
      <c r="D6" s="290">
        <v>2002</v>
      </c>
      <c r="E6" s="290">
        <v>2003</v>
      </c>
      <c r="F6" s="290">
        <v>2004</v>
      </c>
      <c r="G6" s="290">
        <v>2005</v>
      </c>
      <c r="H6" s="290">
        <v>2006</v>
      </c>
      <c r="I6" s="290">
        <v>2007</v>
      </c>
      <c r="J6" s="290">
        <v>2008</v>
      </c>
      <c r="K6" s="290">
        <v>2009</v>
      </c>
      <c r="L6" s="290">
        <v>2010</v>
      </c>
      <c r="M6" s="290">
        <v>2011</v>
      </c>
      <c r="N6" s="290">
        <v>2012</v>
      </c>
      <c r="O6" s="290">
        <v>2013</v>
      </c>
      <c r="P6" s="290">
        <v>2014</v>
      </c>
      <c r="Q6" s="290">
        <v>2015</v>
      </c>
      <c r="R6" s="290">
        <v>2016</v>
      </c>
      <c r="S6" s="290">
        <v>2017</v>
      </c>
      <c r="T6" s="290">
        <v>2018</v>
      </c>
      <c r="U6" s="290">
        <v>2019</v>
      </c>
      <c r="V6" s="290">
        <v>2020</v>
      </c>
      <c r="W6" s="290">
        <v>2021</v>
      </c>
      <c r="X6" s="290">
        <v>2022</v>
      </c>
      <c r="Y6" s="290">
        <v>2023</v>
      </c>
      <c r="Z6" s="463">
        <v>2024</v>
      </c>
    </row>
    <row r="7" spans="1:26" s="11" customFormat="1" ht="18" customHeight="1">
      <c r="A7" s="176" t="s">
        <v>196</v>
      </c>
      <c r="B7" s="177">
        <f>SUM(B8,B14,B20,B26,B32,B37,B42)</f>
        <v>36208</v>
      </c>
      <c r="C7" s="177">
        <f aca="true" t="shared" si="0" ref="C7:I7">SUM(C8,C14,C20,C26,C32,C37,C42)</f>
        <v>38152</v>
      </c>
      <c r="D7" s="177">
        <f t="shared" si="0"/>
        <v>38516</v>
      </c>
      <c r="E7" s="177">
        <f t="shared" si="0"/>
        <v>39162</v>
      </c>
      <c r="F7" s="177">
        <f t="shared" si="0"/>
        <v>40306</v>
      </c>
      <c r="G7" s="177">
        <f t="shared" si="0"/>
        <v>40836</v>
      </c>
      <c r="H7" s="177">
        <f t="shared" si="0"/>
        <v>41354</v>
      </c>
      <c r="I7" s="177">
        <f t="shared" si="0"/>
        <v>42347</v>
      </c>
      <c r="J7" s="177">
        <f aca="true" t="shared" si="1" ref="J7:P7">SUM(J8,J14,J20,J26,J32,J37,J42)</f>
        <v>43151</v>
      </c>
      <c r="K7" s="177">
        <f t="shared" si="1"/>
        <v>43252</v>
      </c>
      <c r="L7" s="177">
        <f t="shared" si="1"/>
        <v>44348</v>
      </c>
      <c r="M7" s="177">
        <f t="shared" si="1"/>
        <v>44869</v>
      </c>
      <c r="N7" s="177">
        <f t="shared" si="1"/>
        <v>45253</v>
      </c>
      <c r="O7" s="177">
        <f t="shared" si="1"/>
        <v>46452</v>
      </c>
      <c r="P7" s="177">
        <f t="shared" si="1"/>
        <v>47078</v>
      </c>
      <c r="Q7" s="177">
        <f aca="true" t="shared" si="2" ref="Q7:W7">SUM(Q8,Q14,Q20,Q26,Q32,Q37,Q42)</f>
        <v>47810</v>
      </c>
      <c r="R7" s="177">
        <f t="shared" si="2"/>
        <v>48758</v>
      </c>
      <c r="S7" s="177">
        <f t="shared" si="2"/>
        <v>49298</v>
      </c>
      <c r="T7" s="177">
        <f t="shared" si="2"/>
        <v>49279</v>
      </c>
      <c r="U7" s="177">
        <f t="shared" si="2"/>
        <v>50369</v>
      </c>
      <c r="V7" s="177">
        <f t="shared" si="2"/>
        <v>50468</v>
      </c>
      <c r="W7" s="177">
        <f t="shared" si="2"/>
        <v>50794</v>
      </c>
      <c r="X7" s="177">
        <f>SUM(X8,X14,X20,X26,X32,X37,X42)</f>
        <v>51943</v>
      </c>
      <c r="Y7" s="177">
        <f>SUM(Y8,Y14,Y20,Y26,Y32,Y37,Y42)</f>
        <v>51463</v>
      </c>
      <c r="Z7" s="891">
        <f>SUM(Z8,Z14,Z20,Z26,Z32,Z37,Z42)</f>
        <v>52029</v>
      </c>
    </row>
    <row r="8" spans="1:26" ht="17.25" customHeight="1">
      <c r="A8" s="176" t="s">
        <v>197</v>
      </c>
      <c r="B8" s="177">
        <f aca="true" t="shared" si="3" ref="B8:N8">SUM(B9:B13)</f>
        <v>5697</v>
      </c>
      <c r="C8" s="177">
        <f t="shared" si="3"/>
        <v>6242</v>
      </c>
      <c r="D8" s="177">
        <f t="shared" si="3"/>
        <v>6081</v>
      </c>
      <c r="E8" s="177">
        <f t="shared" si="3"/>
        <v>6182</v>
      </c>
      <c r="F8" s="177">
        <f t="shared" si="3"/>
        <v>6303</v>
      </c>
      <c r="G8" s="177">
        <f t="shared" si="3"/>
        <v>6299</v>
      </c>
      <c r="H8" s="177">
        <f t="shared" si="3"/>
        <v>6317</v>
      </c>
      <c r="I8" s="177">
        <f t="shared" si="3"/>
        <v>6480</v>
      </c>
      <c r="J8" s="177">
        <f t="shared" si="3"/>
        <v>6614</v>
      </c>
      <c r="K8" s="177">
        <f t="shared" si="3"/>
        <v>6621</v>
      </c>
      <c r="L8" s="177">
        <f t="shared" si="3"/>
        <v>6967</v>
      </c>
      <c r="M8" s="177">
        <f t="shared" si="3"/>
        <v>6962</v>
      </c>
      <c r="N8" s="177">
        <f t="shared" si="3"/>
        <v>7067</v>
      </c>
      <c r="O8" s="177">
        <f>SUM(O9:O13)</f>
        <v>7283</v>
      </c>
      <c r="P8" s="177">
        <f>SUM(P9:P13)</f>
        <v>7243</v>
      </c>
      <c r="Q8" s="177">
        <f aca="true" t="shared" si="4" ref="Q8:W8">SUM(Q9:Q13)</f>
        <v>7089</v>
      </c>
      <c r="R8" s="177">
        <f t="shared" si="4"/>
        <v>6925</v>
      </c>
      <c r="S8" s="177">
        <f t="shared" si="4"/>
        <v>6863</v>
      </c>
      <c r="T8" s="177">
        <f t="shared" si="4"/>
        <v>6794</v>
      </c>
      <c r="U8" s="177">
        <f t="shared" si="4"/>
        <v>6858</v>
      </c>
      <c r="V8" s="177">
        <f t="shared" si="4"/>
        <v>6864</v>
      </c>
      <c r="W8" s="177">
        <f t="shared" si="4"/>
        <v>6884</v>
      </c>
      <c r="X8" s="177">
        <f>SUM(X9:X13)</f>
        <v>6931</v>
      </c>
      <c r="Y8" s="177">
        <f>SUM(Y9:Y13)</f>
        <v>6847</v>
      </c>
      <c r="Z8" s="891">
        <f>SUM(Z9:Z13)</f>
        <v>6855</v>
      </c>
    </row>
    <row r="9" spans="1:26" ht="17.25" customHeight="1">
      <c r="A9" s="174" t="s">
        <v>181</v>
      </c>
      <c r="B9" s="181">
        <v>1133</v>
      </c>
      <c r="C9" s="181">
        <v>1149</v>
      </c>
      <c r="D9" s="181">
        <v>1324</v>
      </c>
      <c r="E9" s="181">
        <v>1339</v>
      </c>
      <c r="F9" s="181">
        <v>1348</v>
      </c>
      <c r="G9" s="181">
        <v>1361</v>
      </c>
      <c r="H9" s="181">
        <v>1382</v>
      </c>
      <c r="I9" s="181">
        <v>1378</v>
      </c>
      <c r="J9" s="181">
        <v>1348</v>
      </c>
      <c r="K9" s="181">
        <v>1335</v>
      </c>
      <c r="L9" s="181">
        <v>1325</v>
      </c>
      <c r="M9" s="181">
        <v>1317</v>
      </c>
      <c r="N9" s="181">
        <v>1358</v>
      </c>
      <c r="O9" s="181">
        <v>1355</v>
      </c>
      <c r="P9" s="181">
        <v>1311</v>
      </c>
      <c r="Q9" s="170">
        <v>1318</v>
      </c>
      <c r="R9" s="170">
        <v>1280</v>
      </c>
      <c r="S9" s="181">
        <v>1271</v>
      </c>
      <c r="T9" s="181">
        <v>1245</v>
      </c>
      <c r="U9" s="181">
        <v>1216</v>
      </c>
      <c r="V9" s="181">
        <v>1274</v>
      </c>
      <c r="W9" s="181">
        <v>1505</v>
      </c>
      <c r="X9" s="181">
        <v>1487</v>
      </c>
      <c r="Y9" s="181">
        <v>1464</v>
      </c>
      <c r="Z9" s="465">
        <v>1399</v>
      </c>
    </row>
    <row r="10" spans="1:26" ht="17.25" customHeight="1">
      <c r="A10" s="174" t="s">
        <v>185</v>
      </c>
      <c r="B10" s="181">
        <v>4401</v>
      </c>
      <c r="C10" s="181">
        <v>4903</v>
      </c>
      <c r="D10" s="181">
        <v>4559</v>
      </c>
      <c r="E10" s="181">
        <v>4647</v>
      </c>
      <c r="F10" s="181">
        <v>4670</v>
      </c>
      <c r="G10" s="181">
        <v>4653</v>
      </c>
      <c r="H10" s="181">
        <v>4630</v>
      </c>
      <c r="I10" s="181">
        <v>4810</v>
      </c>
      <c r="J10" s="181">
        <v>4978</v>
      </c>
      <c r="K10" s="181">
        <v>4994</v>
      </c>
      <c r="L10" s="181">
        <v>5322</v>
      </c>
      <c r="M10" s="181">
        <v>5324</v>
      </c>
      <c r="N10" s="181">
        <v>5390</v>
      </c>
      <c r="O10" s="181">
        <v>5607</v>
      </c>
      <c r="P10" s="181">
        <v>5616</v>
      </c>
      <c r="Q10" s="170">
        <v>5457</v>
      </c>
      <c r="R10" s="170">
        <v>5336</v>
      </c>
      <c r="S10" s="181">
        <v>5285</v>
      </c>
      <c r="T10" s="181">
        <v>5249</v>
      </c>
      <c r="U10" s="181">
        <v>5345</v>
      </c>
      <c r="V10" s="181">
        <v>5304</v>
      </c>
      <c r="W10" s="181">
        <v>5096</v>
      </c>
      <c r="X10" s="181">
        <v>5157</v>
      </c>
      <c r="Y10" s="181">
        <v>5124</v>
      </c>
      <c r="Z10" s="465">
        <v>5203</v>
      </c>
    </row>
    <row r="11" spans="1:26" ht="17.25" customHeight="1">
      <c r="A11" s="174" t="s">
        <v>186</v>
      </c>
      <c r="B11" s="181">
        <v>3</v>
      </c>
      <c r="C11" s="181">
        <v>3</v>
      </c>
      <c r="D11" s="181">
        <v>2</v>
      </c>
      <c r="E11" s="181">
        <v>1</v>
      </c>
      <c r="F11" s="181">
        <v>1</v>
      </c>
      <c r="G11" s="181">
        <v>1</v>
      </c>
      <c r="H11" s="181">
        <v>1</v>
      </c>
      <c r="I11" s="181">
        <v>1</v>
      </c>
      <c r="J11" s="181">
        <v>2</v>
      </c>
      <c r="K11" s="181">
        <v>0</v>
      </c>
      <c r="L11" s="181">
        <v>0</v>
      </c>
      <c r="M11" s="181">
        <v>0</v>
      </c>
      <c r="N11" s="181">
        <v>0</v>
      </c>
      <c r="O11" s="181">
        <v>0</v>
      </c>
      <c r="P11" s="181">
        <v>0</v>
      </c>
      <c r="Q11" s="170">
        <v>0</v>
      </c>
      <c r="R11" s="170">
        <v>0</v>
      </c>
      <c r="S11" s="181">
        <v>0</v>
      </c>
      <c r="T11" s="181">
        <v>0</v>
      </c>
      <c r="U11" s="181">
        <v>0</v>
      </c>
      <c r="V11" s="181">
        <v>0</v>
      </c>
      <c r="W11" s="181">
        <v>0</v>
      </c>
      <c r="X11" s="181">
        <v>0</v>
      </c>
      <c r="Y11" s="181">
        <v>0</v>
      </c>
      <c r="Z11" s="465">
        <v>0</v>
      </c>
    </row>
    <row r="12" spans="1:26" ht="17.25" customHeight="1">
      <c r="A12" s="174" t="s">
        <v>198</v>
      </c>
      <c r="B12" s="181">
        <v>160</v>
      </c>
      <c r="C12" s="181">
        <v>187</v>
      </c>
      <c r="D12" s="181">
        <v>196</v>
      </c>
      <c r="E12" s="181">
        <v>195</v>
      </c>
      <c r="F12" s="181">
        <v>194</v>
      </c>
      <c r="G12" s="181">
        <v>205</v>
      </c>
      <c r="H12" s="181">
        <v>234</v>
      </c>
      <c r="I12" s="181">
        <v>230</v>
      </c>
      <c r="J12" s="181">
        <v>231</v>
      </c>
      <c r="K12" s="181">
        <v>237</v>
      </c>
      <c r="L12" s="181">
        <v>265</v>
      </c>
      <c r="M12" s="181">
        <v>270</v>
      </c>
      <c r="N12" s="181">
        <v>273</v>
      </c>
      <c r="O12" s="181">
        <v>278</v>
      </c>
      <c r="P12" s="181">
        <v>279</v>
      </c>
      <c r="Q12" s="170">
        <v>280</v>
      </c>
      <c r="R12" s="170">
        <v>280</v>
      </c>
      <c r="S12" s="181">
        <v>280</v>
      </c>
      <c r="T12" s="181">
        <v>274</v>
      </c>
      <c r="U12" s="181">
        <v>274</v>
      </c>
      <c r="V12" s="181">
        <v>265</v>
      </c>
      <c r="W12" s="181">
        <v>264</v>
      </c>
      <c r="X12" s="181">
        <v>269</v>
      </c>
      <c r="Y12" s="181">
        <v>258</v>
      </c>
      <c r="Z12" s="465">
        <v>252</v>
      </c>
    </row>
    <row r="13" spans="1:26" ht="17.25" customHeight="1">
      <c r="A13" s="174" t="s">
        <v>199</v>
      </c>
      <c r="B13" s="181" t="s">
        <v>90</v>
      </c>
      <c r="C13" s="181" t="s">
        <v>90</v>
      </c>
      <c r="D13" s="181" t="s">
        <v>90</v>
      </c>
      <c r="E13" s="181" t="s">
        <v>90</v>
      </c>
      <c r="F13" s="181">
        <v>90</v>
      </c>
      <c r="G13" s="181">
        <v>79</v>
      </c>
      <c r="H13" s="181">
        <v>70</v>
      </c>
      <c r="I13" s="181">
        <v>61</v>
      </c>
      <c r="J13" s="181">
        <v>55</v>
      </c>
      <c r="K13" s="181">
        <v>55</v>
      </c>
      <c r="L13" s="181">
        <v>55</v>
      </c>
      <c r="M13" s="181">
        <v>51</v>
      </c>
      <c r="N13" s="181">
        <v>46</v>
      </c>
      <c r="O13" s="181">
        <v>43</v>
      </c>
      <c r="P13" s="181">
        <v>37</v>
      </c>
      <c r="Q13" s="170">
        <v>34</v>
      </c>
      <c r="R13" s="170">
        <v>29</v>
      </c>
      <c r="S13" s="181">
        <v>27</v>
      </c>
      <c r="T13" s="181">
        <v>26</v>
      </c>
      <c r="U13" s="181">
        <v>23</v>
      </c>
      <c r="V13" s="181">
        <v>21</v>
      </c>
      <c r="W13" s="181">
        <v>19</v>
      </c>
      <c r="X13" s="181">
        <v>18</v>
      </c>
      <c r="Y13" s="181">
        <v>1</v>
      </c>
      <c r="Z13" s="465">
        <v>1</v>
      </c>
    </row>
    <row r="14" spans="1:26" ht="17.25" customHeight="1">
      <c r="A14" s="176" t="s">
        <v>200</v>
      </c>
      <c r="B14" s="177">
        <f>SUM(B15:B19)</f>
        <v>15883</v>
      </c>
      <c r="C14" s="177">
        <f aca="true" t="shared" si="5" ref="C14:N14">SUM(C15:C19)</f>
        <v>16538</v>
      </c>
      <c r="D14" s="177">
        <f t="shared" si="5"/>
        <v>16956</v>
      </c>
      <c r="E14" s="177">
        <f t="shared" si="5"/>
        <v>16987</v>
      </c>
      <c r="F14" s="177">
        <f t="shared" si="5"/>
        <v>17572</v>
      </c>
      <c r="G14" s="177">
        <f t="shared" si="5"/>
        <v>17681</v>
      </c>
      <c r="H14" s="177">
        <f t="shared" si="5"/>
        <v>18039</v>
      </c>
      <c r="I14" s="177">
        <f t="shared" si="5"/>
        <v>18691</v>
      </c>
      <c r="J14" s="177">
        <f t="shared" si="5"/>
        <v>19307</v>
      </c>
      <c r="K14" s="177">
        <f t="shared" si="5"/>
        <v>19296</v>
      </c>
      <c r="L14" s="177">
        <f t="shared" si="5"/>
        <v>19810</v>
      </c>
      <c r="M14" s="177">
        <f t="shared" si="5"/>
        <v>20457</v>
      </c>
      <c r="N14" s="177">
        <f t="shared" si="5"/>
        <v>20463</v>
      </c>
      <c r="O14" s="177">
        <f>SUM(O15:O19)</f>
        <v>21062</v>
      </c>
      <c r="P14" s="177">
        <f>SUM(P15:P19)</f>
        <v>22279</v>
      </c>
      <c r="Q14" s="177">
        <f aca="true" t="shared" si="6" ref="Q14:W14">SUM(Q15:Q19)</f>
        <v>23134</v>
      </c>
      <c r="R14" s="177">
        <f t="shared" si="6"/>
        <v>23712</v>
      </c>
      <c r="S14" s="177">
        <f t="shared" si="6"/>
        <v>24058</v>
      </c>
      <c r="T14" s="177">
        <f t="shared" si="6"/>
        <v>23728</v>
      </c>
      <c r="U14" s="177">
        <f t="shared" si="6"/>
        <v>24461</v>
      </c>
      <c r="V14" s="177">
        <f t="shared" si="6"/>
        <v>24157</v>
      </c>
      <c r="W14" s="177">
        <f t="shared" si="6"/>
        <v>24009</v>
      </c>
      <c r="X14" s="177">
        <f>SUM(X15:X19)</f>
        <v>24889</v>
      </c>
      <c r="Y14" s="177">
        <f>SUM(Y15:Y19)</f>
        <v>24614</v>
      </c>
      <c r="Z14" s="891">
        <f>SUM(Z15:Z19)</f>
        <v>25551</v>
      </c>
    </row>
    <row r="15" spans="1:26" ht="17.25" customHeight="1">
      <c r="A15" s="174" t="s">
        <v>181</v>
      </c>
      <c r="B15" s="181">
        <v>2401</v>
      </c>
      <c r="C15" s="181">
        <v>2446</v>
      </c>
      <c r="D15" s="181">
        <v>2470</v>
      </c>
      <c r="E15" s="181">
        <v>2474</v>
      </c>
      <c r="F15" s="181">
        <v>2490</v>
      </c>
      <c r="G15" s="181">
        <v>2499</v>
      </c>
      <c r="H15" s="181">
        <v>2505</v>
      </c>
      <c r="I15" s="181">
        <v>2512</v>
      </c>
      <c r="J15" s="181">
        <v>2520</v>
      </c>
      <c r="K15" s="181">
        <v>2529</v>
      </c>
      <c r="L15" s="181">
        <v>2555</v>
      </c>
      <c r="M15" s="181">
        <v>2556</v>
      </c>
      <c r="N15" s="181">
        <v>2553</v>
      </c>
      <c r="O15" s="181">
        <v>2556</v>
      </c>
      <c r="P15" s="181">
        <v>2625</v>
      </c>
      <c r="Q15" s="170">
        <v>2630</v>
      </c>
      <c r="R15" s="170">
        <v>2679</v>
      </c>
      <c r="S15" s="181">
        <v>2700</v>
      </c>
      <c r="T15" s="181">
        <v>2719</v>
      </c>
      <c r="U15" s="181">
        <v>2714</v>
      </c>
      <c r="V15" s="181">
        <v>2677</v>
      </c>
      <c r="W15" s="181">
        <v>2681</v>
      </c>
      <c r="X15" s="181">
        <v>2681</v>
      </c>
      <c r="Y15" s="181">
        <v>2670</v>
      </c>
      <c r="Z15" s="465">
        <v>2661</v>
      </c>
    </row>
    <row r="16" spans="1:26" ht="17.25" customHeight="1">
      <c r="A16" s="174" t="s">
        <v>185</v>
      </c>
      <c r="B16" s="181">
        <v>10626</v>
      </c>
      <c r="C16" s="181">
        <v>11141</v>
      </c>
      <c r="D16" s="181">
        <v>11161</v>
      </c>
      <c r="E16" s="181">
        <v>11178</v>
      </c>
      <c r="F16" s="181">
        <v>11317</v>
      </c>
      <c r="G16" s="181">
        <v>11440</v>
      </c>
      <c r="H16" s="181">
        <v>11781</v>
      </c>
      <c r="I16" s="181">
        <v>12123</v>
      </c>
      <c r="J16" s="181">
        <v>12439</v>
      </c>
      <c r="K16" s="181">
        <v>12513</v>
      </c>
      <c r="L16" s="181">
        <v>13026</v>
      </c>
      <c r="M16" s="181">
        <v>13486</v>
      </c>
      <c r="N16" s="181">
        <v>13393</v>
      </c>
      <c r="O16" s="181">
        <v>13943</v>
      </c>
      <c r="P16" s="181">
        <v>14913</v>
      </c>
      <c r="Q16" s="170">
        <v>15692</v>
      </c>
      <c r="R16" s="170">
        <v>16120</v>
      </c>
      <c r="S16" s="181">
        <v>16312</v>
      </c>
      <c r="T16" s="181">
        <v>16324</v>
      </c>
      <c r="U16" s="181">
        <v>16680</v>
      </c>
      <c r="V16" s="181">
        <v>16563</v>
      </c>
      <c r="W16" s="181">
        <v>16543</v>
      </c>
      <c r="X16" s="181">
        <v>16877</v>
      </c>
      <c r="Y16" s="181">
        <v>17008</v>
      </c>
      <c r="Z16" s="465">
        <v>18035</v>
      </c>
    </row>
    <row r="17" spans="1:26" ht="17.25" customHeight="1">
      <c r="A17" s="174" t="s">
        <v>186</v>
      </c>
      <c r="B17" s="181">
        <v>1769</v>
      </c>
      <c r="C17" s="181">
        <v>1765</v>
      </c>
      <c r="D17" s="181">
        <v>2114</v>
      </c>
      <c r="E17" s="181">
        <v>2088</v>
      </c>
      <c r="F17" s="181">
        <v>2291</v>
      </c>
      <c r="G17" s="181">
        <v>2228</v>
      </c>
      <c r="H17" s="181">
        <v>2224</v>
      </c>
      <c r="I17" s="181">
        <v>2479</v>
      </c>
      <c r="J17" s="181">
        <v>2762</v>
      </c>
      <c r="K17" s="181">
        <v>2667</v>
      </c>
      <c r="L17" s="181">
        <v>2651</v>
      </c>
      <c r="M17" s="181">
        <v>2837</v>
      </c>
      <c r="N17" s="181">
        <v>2944</v>
      </c>
      <c r="O17" s="181">
        <v>2989</v>
      </c>
      <c r="P17" s="181">
        <v>3175</v>
      </c>
      <c r="Q17" s="170">
        <v>3242</v>
      </c>
      <c r="R17" s="170">
        <v>3323</v>
      </c>
      <c r="S17" s="181">
        <v>3447</v>
      </c>
      <c r="T17" s="181">
        <v>3086</v>
      </c>
      <c r="U17" s="181">
        <v>3466</v>
      </c>
      <c r="V17" s="181">
        <v>3322</v>
      </c>
      <c r="W17" s="181">
        <v>3191</v>
      </c>
      <c r="X17" s="181">
        <v>3743</v>
      </c>
      <c r="Y17" s="181">
        <v>3377</v>
      </c>
      <c r="Z17" s="465">
        <v>3307</v>
      </c>
    </row>
    <row r="18" spans="1:26" ht="17.25" customHeight="1">
      <c r="A18" s="193" t="s">
        <v>183</v>
      </c>
      <c r="B18" s="181">
        <v>985</v>
      </c>
      <c r="C18" s="181">
        <v>1082</v>
      </c>
      <c r="D18" s="181">
        <v>1107</v>
      </c>
      <c r="E18" s="181">
        <v>1143</v>
      </c>
      <c r="F18" s="181">
        <v>1188</v>
      </c>
      <c r="G18" s="181">
        <v>1247</v>
      </c>
      <c r="H18" s="181">
        <v>1279</v>
      </c>
      <c r="I18" s="181">
        <v>1343</v>
      </c>
      <c r="J18" s="181">
        <v>1364</v>
      </c>
      <c r="K18" s="181">
        <v>1377</v>
      </c>
      <c r="L18" s="181">
        <v>1363</v>
      </c>
      <c r="M18" s="181">
        <v>1369</v>
      </c>
      <c r="N18" s="181">
        <v>1378</v>
      </c>
      <c r="O18" s="181">
        <v>1380</v>
      </c>
      <c r="P18" s="181">
        <v>1385</v>
      </c>
      <c r="Q18" s="170">
        <v>1389</v>
      </c>
      <c r="R18" s="170">
        <v>1422</v>
      </c>
      <c r="S18" s="181">
        <v>1434</v>
      </c>
      <c r="T18" s="181">
        <v>1446</v>
      </c>
      <c r="U18" s="181">
        <v>1450</v>
      </c>
      <c r="V18" s="181">
        <v>1456</v>
      </c>
      <c r="W18" s="181">
        <v>1463</v>
      </c>
      <c r="X18" s="181">
        <v>1466</v>
      </c>
      <c r="Y18" s="181">
        <v>1460</v>
      </c>
      <c r="Z18" s="465">
        <v>1468</v>
      </c>
    </row>
    <row r="19" spans="1:26" ht="17.25" customHeight="1">
      <c r="A19" s="174" t="s">
        <v>199</v>
      </c>
      <c r="B19" s="181">
        <v>102</v>
      </c>
      <c r="C19" s="181">
        <v>104</v>
      </c>
      <c r="D19" s="181">
        <v>104</v>
      </c>
      <c r="E19" s="181">
        <v>104</v>
      </c>
      <c r="F19" s="181">
        <v>286</v>
      </c>
      <c r="G19" s="181">
        <v>267</v>
      </c>
      <c r="H19" s="181">
        <v>250</v>
      </c>
      <c r="I19" s="181">
        <v>234</v>
      </c>
      <c r="J19" s="181">
        <v>222</v>
      </c>
      <c r="K19" s="181">
        <v>210</v>
      </c>
      <c r="L19" s="181">
        <v>215</v>
      </c>
      <c r="M19" s="181">
        <v>209</v>
      </c>
      <c r="N19" s="181">
        <v>195</v>
      </c>
      <c r="O19" s="181">
        <v>194</v>
      </c>
      <c r="P19" s="181">
        <v>181</v>
      </c>
      <c r="Q19" s="170">
        <v>181</v>
      </c>
      <c r="R19" s="170">
        <v>168</v>
      </c>
      <c r="S19" s="181">
        <v>165</v>
      </c>
      <c r="T19" s="181">
        <v>153</v>
      </c>
      <c r="U19" s="181">
        <v>151</v>
      </c>
      <c r="V19" s="181">
        <v>139</v>
      </c>
      <c r="W19" s="181">
        <v>131</v>
      </c>
      <c r="X19" s="181">
        <v>122</v>
      </c>
      <c r="Y19" s="181">
        <v>99</v>
      </c>
      <c r="Z19" s="465">
        <v>80</v>
      </c>
    </row>
    <row r="20" spans="1:26" ht="17.25" customHeight="1">
      <c r="A20" s="176" t="s">
        <v>201</v>
      </c>
      <c r="B20" s="177">
        <f>SUM(B21:B25)</f>
        <v>1239</v>
      </c>
      <c r="C20" s="177">
        <f aca="true" t="shared" si="7" ref="C20:N20">SUM(C21:C25)</f>
        <v>1276</v>
      </c>
      <c r="D20" s="177">
        <f t="shared" si="7"/>
        <v>1288</v>
      </c>
      <c r="E20" s="177">
        <f t="shared" si="7"/>
        <v>1297</v>
      </c>
      <c r="F20" s="177">
        <f t="shared" si="7"/>
        <v>1391</v>
      </c>
      <c r="G20" s="177">
        <f t="shared" si="7"/>
        <v>1432</v>
      </c>
      <c r="H20" s="177">
        <f t="shared" si="7"/>
        <v>1478</v>
      </c>
      <c r="I20" s="177">
        <f t="shared" si="7"/>
        <v>1509</v>
      </c>
      <c r="J20" s="177">
        <f t="shared" si="7"/>
        <v>1509</v>
      </c>
      <c r="K20" s="177">
        <f t="shared" si="7"/>
        <v>1557</v>
      </c>
      <c r="L20" s="177">
        <f t="shared" si="7"/>
        <v>1647</v>
      </c>
      <c r="M20" s="177">
        <f t="shared" si="7"/>
        <v>1744</v>
      </c>
      <c r="N20" s="177">
        <f t="shared" si="7"/>
        <v>1789</v>
      </c>
      <c r="O20" s="177">
        <f>SUM(O21:O25)</f>
        <v>1927</v>
      </c>
      <c r="P20" s="177">
        <f>SUM(P21:P25)</f>
        <v>1336</v>
      </c>
      <c r="Q20" s="177">
        <f aca="true" t="shared" si="8" ref="Q20:W20">SUM(Q21:Q25)</f>
        <v>855</v>
      </c>
      <c r="R20" s="177">
        <f t="shared" si="8"/>
        <v>879</v>
      </c>
      <c r="S20" s="177">
        <f t="shared" si="8"/>
        <v>939</v>
      </c>
      <c r="T20" s="177">
        <f t="shared" si="8"/>
        <v>1344</v>
      </c>
      <c r="U20" s="177">
        <f t="shared" si="8"/>
        <v>1383</v>
      </c>
      <c r="V20" s="177">
        <f t="shared" si="8"/>
        <v>1486</v>
      </c>
      <c r="W20" s="177">
        <f t="shared" si="8"/>
        <v>1519</v>
      </c>
      <c r="X20" s="177">
        <f>SUM(X21:X25)</f>
        <v>1549</v>
      </c>
      <c r="Y20" s="177">
        <f>SUM(Y21:Y25)</f>
        <v>1540</v>
      </c>
      <c r="Z20" s="891">
        <f>SUM(Z21:Z25)</f>
        <v>1056</v>
      </c>
    </row>
    <row r="21" spans="1:26" ht="17.25" customHeight="1">
      <c r="A21" s="174" t="s">
        <v>181</v>
      </c>
      <c r="B21" s="181">
        <v>241</v>
      </c>
      <c r="C21" s="181">
        <v>239</v>
      </c>
      <c r="D21" s="181">
        <v>238</v>
      </c>
      <c r="E21" s="181">
        <v>239</v>
      </c>
      <c r="F21" s="181">
        <v>245</v>
      </c>
      <c r="G21" s="181">
        <v>254</v>
      </c>
      <c r="H21" s="181">
        <v>260</v>
      </c>
      <c r="I21" s="181">
        <v>262</v>
      </c>
      <c r="J21" s="181">
        <v>257</v>
      </c>
      <c r="K21" s="181">
        <v>271</v>
      </c>
      <c r="L21" s="181">
        <v>276</v>
      </c>
      <c r="M21" s="181">
        <v>273</v>
      </c>
      <c r="N21" s="181">
        <v>271</v>
      </c>
      <c r="O21" s="181">
        <v>275</v>
      </c>
      <c r="P21" s="181">
        <v>141</v>
      </c>
      <c r="Q21" s="170">
        <v>79</v>
      </c>
      <c r="R21" s="170">
        <v>79</v>
      </c>
      <c r="S21" s="181">
        <v>80</v>
      </c>
      <c r="T21" s="181">
        <v>132</v>
      </c>
      <c r="U21" s="181">
        <v>126</v>
      </c>
      <c r="V21" s="181">
        <v>136</v>
      </c>
      <c r="W21" s="181">
        <v>136</v>
      </c>
      <c r="X21" s="181">
        <v>131</v>
      </c>
      <c r="Y21" s="181">
        <v>137</v>
      </c>
      <c r="Z21" s="465">
        <v>106</v>
      </c>
    </row>
    <row r="22" spans="1:26" ht="17.25" customHeight="1">
      <c r="A22" s="174" t="s">
        <v>185</v>
      </c>
      <c r="B22" s="181">
        <v>920</v>
      </c>
      <c r="C22" s="181">
        <v>964</v>
      </c>
      <c r="D22" s="181">
        <v>969</v>
      </c>
      <c r="E22" s="181">
        <v>969</v>
      </c>
      <c r="F22" s="181">
        <v>1043</v>
      </c>
      <c r="G22" s="181">
        <v>1066</v>
      </c>
      <c r="H22" s="181">
        <v>1118</v>
      </c>
      <c r="I22" s="181">
        <v>1146</v>
      </c>
      <c r="J22" s="181">
        <v>1135</v>
      </c>
      <c r="K22" s="181">
        <v>1172</v>
      </c>
      <c r="L22" s="181">
        <v>1254</v>
      </c>
      <c r="M22" s="181">
        <v>1354</v>
      </c>
      <c r="N22" s="181">
        <v>1393</v>
      </c>
      <c r="O22" s="181">
        <v>1523</v>
      </c>
      <c r="P22" s="181">
        <v>1130</v>
      </c>
      <c r="Q22" s="170">
        <v>740</v>
      </c>
      <c r="R22" s="170">
        <v>764</v>
      </c>
      <c r="S22" s="181">
        <v>827</v>
      </c>
      <c r="T22" s="181">
        <v>1082</v>
      </c>
      <c r="U22" s="181">
        <v>1128</v>
      </c>
      <c r="V22" s="181">
        <v>1212</v>
      </c>
      <c r="W22" s="181">
        <v>1240</v>
      </c>
      <c r="X22" s="181">
        <v>1259</v>
      </c>
      <c r="Y22" s="181">
        <v>1238</v>
      </c>
      <c r="Z22" s="465">
        <v>805</v>
      </c>
    </row>
    <row r="23" spans="1:26" ht="17.25" customHeight="1">
      <c r="A23" s="174" t="s">
        <v>186</v>
      </c>
      <c r="B23" s="181">
        <v>57</v>
      </c>
      <c r="C23" s="181">
        <v>53</v>
      </c>
      <c r="D23" s="181">
        <v>59</v>
      </c>
      <c r="E23" s="181">
        <v>67</v>
      </c>
      <c r="F23" s="181">
        <v>61</v>
      </c>
      <c r="G23" s="181">
        <v>65</v>
      </c>
      <c r="H23" s="181">
        <v>48</v>
      </c>
      <c r="I23" s="181">
        <v>42</v>
      </c>
      <c r="J23" s="181">
        <v>56</v>
      </c>
      <c r="K23" s="181">
        <v>55</v>
      </c>
      <c r="L23" s="181">
        <v>58</v>
      </c>
      <c r="M23" s="181">
        <v>58</v>
      </c>
      <c r="N23" s="181">
        <v>68</v>
      </c>
      <c r="O23" s="181">
        <v>71</v>
      </c>
      <c r="P23" s="181">
        <v>11</v>
      </c>
      <c r="Q23" s="170">
        <v>7</v>
      </c>
      <c r="R23" s="170">
        <v>4</v>
      </c>
      <c r="S23" s="181">
        <v>2</v>
      </c>
      <c r="T23" s="181">
        <v>73</v>
      </c>
      <c r="U23" s="181">
        <v>74</v>
      </c>
      <c r="V23" s="181">
        <v>70</v>
      </c>
      <c r="W23" s="181">
        <v>73</v>
      </c>
      <c r="X23" s="181">
        <v>90</v>
      </c>
      <c r="Y23" s="181">
        <v>97</v>
      </c>
      <c r="Z23" s="465">
        <v>84</v>
      </c>
    </row>
    <row r="24" spans="1:26" ht="17.25" customHeight="1">
      <c r="A24" s="193" t="s">
        <v>183</v>
      </c>
      <c r="B24" s="181">
        <v>19</v>
      </c>
      <c r="C24" s="181">
        <v>18</v>
      </c>
      <c r="D24" s="181">
        <v>20</v>
      </c>
      <c r="E24" s="181">
        <v>20</v>
      </c>
      <c r="F24" s="181">
        <v>22</v>
      </c>
      <c r="G24" s="181">
        <v>27</v>
      </c>
      <c r="H24" s="181">
        <v>31</v>
      </c>
      <c r="I24" s="181">
        <v>41</v>
      </c>
      <c r="J24" s="181">
        <v>43</v>
      </c>
      <c r="K24" s="181">
        <v>42</v>
      </c>
      <c r="L24" s="181">
        <v>45</v>
      </c>
      <c r="M24" s="181">
        <v>45</v>
      </c>
      <c r="N24" s="181">
        <v>43</v>
      </c>
      <c r="O24" s="181">
        <v>45</v>
      </c>
      <c r="P24" s="181">
        <v>43</v>
      </c>
      <c r="Q24" s="170">
        <v>27</v>
      </c>
      <c r="R24" s="170">
        <v>30</v>
      </c>
      <c r="S24" s="181">
        <v>29</v>
      </c>
      <c r="T24" s="181">
        <v>52</v>
      </c>
      <c r="U24" s="181">
        <v>50</v>
      </c>
      <c r="V24" s="181">
        <v>60</v>
      </c>
      <c r="W24" s="181">
        <v>61</v>
      </c>
      <c r="X24" s="181">
        <v>60</v>
      </c>
      <c r="Y24" s="181">
        <v>61</v>
      </c>
      <c r="Z24" s="465">
        <v>59</v>
      </c>
    </row>
    <row r="25" spans="1:26" ht="17.25" customHeight="1">
      <c r="A25" s="174" t="s">
        <v>199</v>
      </c>
      <c r="B25" s="181">
        <v>2</v>
      </c>
      <c r="C25" s="181">
        <v>2</v>
      </c>
      <c r="D25" s="181">
        <v>2</v>
      </c>
      <c r="E25" s="181">
        <v>2</v>
      </c>
      <c r="F25" s="181">
        <v>20</v>
      </c>
      <c r="G25" s="181">
        <v>20</v>
      </c>
      <c r="H25" s="181">
        <v>21</v>
      </c>
      <c r="I25" s="181">
        <v>18</v>
      </c>
      <c r="J25" s="181">
        <v>18</v>
      </c>
      <c r="K25" s="181">
        <v>17</v>
      </c>
      <c r="L25" s="181">
        <v>14</v>
      </c>
      <c r="M25" s="181">
        <v>14</v>
      </c>
      <c r="N25" s="181">
        <v>14</v>
      </c>
      <c r="O25" s="181">
        <v>13</v>
      </c>
      <c r="P25" s="181">
        <v>11</v>
      </c>
      <c r="Q25" s="170">
        <v>2</v>
      </c>
      <c r="R25" s="170">
        <v>2</v>
      </c>
      <c r="S25" s="181">
        <v>1</v>
      </c>
      <c r="T25" s="181">
        <v>5</v>
      </c>
      <c r="U25" s="181">
        <v>5</v>
      </c>
      <c r="V25" s="181">
        <v>8</v>
      </c>
      <c r="W25" s="181">
        <v>9</v>
      </c>
      <c r="X25" s="181">
        <v>9</v>
      </c>
      <c r="Y25" s="181">
        <v>7</v>
      </c>
      <c r="Z25" s="465">
        <v>2</v>
      </c>
    </row>
    <row r="26" spans="1:26" ht="17.25" customHeight="1">
      <c r="A26" s="176" t="s">
        <v>202</v>
      </c>
      <c r="B26" s="177">
        <f>SUM(B27:B31)</f>
        <v>8839</v>
      </c>
      <c r="C26" s="177">
        <f aca="true" t="shared" si="9" ref="C26:N26">SUM(C27:C31)</f>
        <v>9367</v>
      </c>
      <c r="D26" s="177">
        <f t="shared" si="9"/>
        <v>9403</v>
      </c>
      <c r="E26" s="177">
        <f t="shared" si="9"/>
        <v>9836</v>
      </c>
      <c r="F26" s="177">
        <f t="shared" si="9"/>
        <v>9939</v>
      </c>
      <c r="G26" s="177">
        <f t="shared" si="9"/>
        <v>10258</v>
      </c>
      <c r="H26" s="177">
        <f t="shared" si="9"/>
        <v>10323</v>
      </c>
      <c r="I26" s="177">
        <f t="shared" si="9"/>
        <v>10356</v>
      </c>
      <c r="J26" s="177">
        <f t="shared" si="9"/>
        <v>10395</v>
      </c>
      <c r="K26" s="177">
        <f t="shared" si="9"/>
        <v>10382</v>
      </c>
      <c r="L26" s="177">
        <f t="shared" si="9"/>
        <v>10449</v>
      </c>
      <c r="M26" s="177">
        <f t="shared" si="9"/>
        <v>10227</v>
      </c>
      <c r="N26" s="177">
        <f t="shared" si="9"/>
        <v>10400</v>
      </c>
      <c r="O26" s="177">
        <f>SUM(O27:O31)</f>
        <v>10633</v>
      </c>
      <c r="P26" s="177">
        <f>SUM(P27:P31)</f>
        <v>10689</v>
      </c>
      <c r="Q26" s="177">
        <f aca="true" t="shared" si="10" ref="Q26:W26">SUM(Q27:Q31)</f>
        <v>10957</v>
      </c>
      <c r="R26" s="177">
        <f t="shared" si="10"/>
        <v>11286</v>
      </c>
      <c r="S26" s="177">
        <f t="shared" si="10"/>
        <v>11463</v>
      </c>
      <c r="T26" s="177">
        <f t="shared" si="10"/>
        <v>11666</v>
      </c>
      <c r="U26" s="177">
        <f t="shared" si="10"/>
        <v>11917</v>
      </c>
      <c r="V26" s="177">
        <f t="shared" si="10"/>
        <v>12224</v>
      </c>
      <c r="W26" s="177">
        <f t="shared" si="10"/>
        <v>12536</v>
      </c>
      <c r="X26" s="177">
        <f>SUM(X27:X31)</f>
        <v>12822</v>
      </c>
      <c r="Y26" s="177">
        <f>SUM(Y27:Y31)</f>
        <v>12734</v>
      </c>
      <c r="Z26" s="891">
        <f>SUM(Z27:Z31)</f>
        <v>12808</v>
      </c>
    </row>
    <row r="27" spans="1:26" ht="17.25" customHeight="1">
      <c r="A27" s="174" t="s">
        <v>181</v>
      </c>
      <c r="B27" s="181">
        <v>1142</v>
      </c>
      <c r="C27" s="181">
        <v>1142</v>
      </c>
      <c r="D27" s="181">
        <v>1138</v>
      </c>
      <c r="E27" s="181">
        <v>1137</v>
      </c>
      <c r="F27" s="181">
        <v>1134</v>
      </c>
      <c r="G27" s="181">
        <v>1138</v>
      </c>
      <c r="H27" s="181">
        <v>1142</v>
      </c>
      <c r="I27" s="181">
        <v>1148</v>
      </c>
      <c r="J27" s="181">
        <v>1145</v>
      </c>
      <c r="K27" s="181">
        <v>1140</v>
      </c>
      <c r="L27" s="181">
        <v>1137</v>
      </c>
      <c r="M27" s="181">
        <v>1139</v>
      </c>
      <c r="N27" s="181">
        <v>1153</v>
      </c>
      <c r="O27" s="181">
        <v>1173</v>
      </c>
      <c r="P27" s="181">
        <v>1191</v>
      </c>
      <c r="Q27" s="170">
        <v>1208</v>
      </c>
      <c r="R27" s="170">
        <v>1210</v>
      </c>
      <c r="S27" s="181">
        <v>1228</v>
      </c>
      <c r="T27" s="181">
        <v>1232</v>
      </c>
      <c r="U27" s="181">
        <v>1238</v>
      </c>
      <c r="V27" s="181">
        <v>1254</v>
      </c>
      <c r="W27" s="181">
        <v>1278</v>
      </c>
      <c r="X27" s="181">
        <v>1300</v>
      </c>
      <c r="Y27" s="181">
        <v>1314</v>
      </c>
      <c r="Z27" s="465">
        <v>1286</v>
      </c>
    </row>
    <row r="28" spans="1:26" ht="17.25" customHeight="1">
      <c r="A28" s="174" t="s">
        <v>185</v>
      </c>
      <c r="B28" s="181">
        <v>6616</v>
      </c>
      <c r="C28" s="181">
        <v>7005</v>
      </c>
      <c r="D28" s="181">
        <v>7010</v>
      </c>
      <c r="E28" s="181">
        <v>7395</v>
      </c>
      <c r="F28" s="181">
        <v>7461</v>
      </c>
      <c r="G28" s="181">
        <v>7735</v>
      </c>
      <c r="H28" s="181">
        <v>7781</v>
      </c>
      <c r="I28" s="181">
        <v>7729</v>
      </c>
      <c r="J28" s="181">
        <v>7728</v>
      </c>
      <c r="K28" s="181">
        <v>7624</v>
      </c>
      <c r="L28" s="181">
        <v>7660</v>
      </c>
      <c r="M28" s="181">
        <v>7551</v>
      </c>
      <c r="N28" s="181">
        <v>7705</v>
      </c>
      <c r="O28" s="181">
        <v>7832</v>
      </c>
      <c r="P28" s="181">
        <v>7903</v>
      </c>
      <c r="Q28" s="170">
        <v>8143</v>
      </c>
      <c r="R28" s="170">
        <v>8392</v>
      </c>
      <c r="S28" s="181">
        <v>8650</v>
      </c>
      <c r="T28" s="181">
        <v>8837</v>
      </c>
      <c r="U28" s="181">
        <v>9094</v>
      </c>
      <c r="V28" s="181">
        <v>9375</v>
      </c>
      <c r="W28" s="181">
        <v>9572</v>
      </c>
      <c r="X28" s="181">
        <v>9755</v>
      </c>
      <c r="Y28" s="181">
        <v>9765</v>
      </c>
      <c r="Z28" s="465">
        <v>9838</v>
      </c>
    </row>
    <row r="29" spans="1:26" ht="17.25" customHeight="1">
      <c r="A29" s="174" t="s">
        <v>186</v>
      </c>
      <c r="B29" s="181">
        <v>861</v>
      </c>
      <c r="C29" s="181">
        <v>996</v>
      </c>
      <c r="D29" s="181">
        <v>1027</v>
      </c>
      <c r="E29" s="181">
        <v>1072</v>
      </c>
      <c r="F29" s="181">
        <v>1096</v>
      </c>
      <c r="G29" s="181">
        <v>1133</v>
      </c>
      <c r="H29" s="181">
        <v>1149</v>
      </c>
      <c r="I29" s="181">
        <v>1225</v>
      </c>
      <c r="J29" s="181">
        <v>1246</v>
      </c>
      <c r="K29" s="181">
        <v>1321</v>
      </c>
      <c r="L29" s="181">
        <v>1354</v>
      </c>
      <c r="M29" s="181">
        <v>1241</v>
      </c>
      <c r="N29" s="181">
        <v>1248</v>
      </c>
      <c r="O29" s="181">
        <v>1337</v>
      </c>
      <c r="P29" s="181">
        <v>1289</v>
      </c>
      <c r="Q29" s="170">
        <v>1300</v>
      </c>
      <c r="R29" s="170">
        <v>1358</v>
      </c>
      <c r="S29" s="181">
        <v>1245</v>
      </c>
      <c r="T29" s="181">
        <v>1262</v>
      </c>
      <c r="U29" s="181">
        <v>1238</v>
      </c>
      <c r="V29" s="181">
        <v>1246</v>
      </c>
      <c r="W29" s="181">
        <v>1336</v>
      </c>
      <c r="X29" s="181">
        <v>1401</v>
      </c>
      <c r="Y29" s="181">
        <v>1286</v>
      </c>
      <c r="Z29" s="465">
        <v>1305</v>
      </c>
    </row>
    <row r="30" spans="1:26" ht="17.25" customHeight="1">
      <c r="A30" s="193" t="s">
        <v>183</v>
      </c>
      <c r="B30" s="181">
        <v>216</v>
      </c>
      <c r="C30" s="181">
        <v>220</v>
      </c>
      <c r="D30" s="181">
        <v>225</v>
      </c>
      <c r="E30" s="181">
        <v>229</v>
      </c>
      <c r="F30" s="181">
        <v>240</v>
      </c>
      <c r="G30" s="181">
        <v>244</v>
      </c>
      <c r="H30" s="181">
        <v>244</v>
      </c>
      <c r="I30" s="181">
        <v>247</v>
      </c>
      <c r="J30" s="181">
        <v>268</v>
      </c>
      <c r="K30" s="181">
        <v>290</v>
      </c>
      <c r="L30" s="181">
        <v>287</v>
      </c>
      <c r="M30" s="181">
        <v>285</v>
      </c>
      <c r="N30" s="181">
        <v>283</v>
      </c>
      <c r="O30" s="181">
        <v>280</v>
      </c>
      <c r="P30" s="181">
        <v>297</v>
      </c>
      <c r="Q30" s="170">
        <v>293</v>
      </c>
      <c r="R30" s="170">
        <v>312</v>
      </c>
      <c r="S30" s="181">
        <v>327</v>
      </c>
      <c r="T30" s="181">
        <v>325</v>
      </c>
      <c r="U30" s="181">
        <v>335</v>
      </c>
      <c r="V30" s="181">
        <v>333</v>
      </c>
      <c r="W30" s="181">
        <v>332</v>
      </c>
      <c r="X30" s="181">
        <v>347</v>
      </c>
      <c r="Y30" s="181">
        <v>350</v>
      </c>
      <c r="Z30" s="465">
        <v>362</v>
      </c>
    </row>
    <row r="31" spans="1:26" ht="17.25" customHeight="1">
      <c r="A31" s="174" t="s">
        <v>199</v>
      </c>
      <c r="B31" s="181">
        <v>4</v>
      </c>
      <c r="C31" s="181">
        <v>4</v>
      </c>
      <c r="D31" s="181">
        <v>3</v>
      </c>
      <c r="E31" s="181">
        <v>3</v>
      </c>
      <c r="F31" s="181">
        <v>8</v>
      </c>
      <c r="G31" s="181">
        <v>8</v>
      </c>
      <c r="H31" s="181">
        <v>7</v>
      </c>
      <c r="I31" s="181">
        <v>7</v>
      </c>
      <c r="J31" s="181">
        <v>8</v>
      </c>
      <c r="K31" s="181">
        <v>7</v>
      </c>
      <c r="L31" s="181">
        <v>11</v>
      </c>
      <c r="M31" s="181">
        <v>11</v>
      </c>
      <c r="N31" s="181">
        <v>11</v>
      </c>
      <c r="O31" s="181">
        <v>11</v>
      </c>
      <c r="P31" s="181">
        <v>9</v>
      </c>
      <c r="Q31" s="170">
        <v>13</v>
      </c>
      <c r="R31" s="170">
        <v>14</v>
      </c>
      <c r="S31" s="181">
        <v>13</v>
      </c>
      <c r="T31" s="181">
        <v>10</v>
      </c>
      <c r="U31" s="181">
        <v>12</v>
      </c>
      <c r="V31" s="181">
        <v>16</v>
      </c>
      <c r="W31" s="181">
        <v>18</v>
      </c>
      <c r="X31" s="181">
        <v>19</v>
      </c>
      <c r="Y31" s="181">
        <v>19</v>
      </c>
      <c r="Z31" s="465">
        <v>17</v>
      </c>
    </row>
    <row r="32" spans="1:26" ht="18" customHeight="1">
      <c r="A32" s="176" t="s">
        <v>203</v>
      </c>
      <c r="B32" s="177">
        <f aca="true" t="shared" si="11" ref="B32:I32">SUM(B33:B36)</f>
        <v>2300</v>
      </c>
      <c r="C32" s="177">
        <f t="shared" si="11"/>
        <v>2394</v>
      </c>
      <c r="D32" s="177">
        <f t="shared" si="11"/>
        <v>2453</v>
      </c>
      <c r="E32" s="177">
        <f t="shared" si="11"/>
        <v>2463</v>
      </c>
      <c r="F32" s="177">
        <f t="shared" si="11"/>
        <v>2641</v>
      </c>
      <c r="G32" s="177">
        <f t="shared" si="11"/>
        <v>2621</v>
      </c>
      <c r="H32" s="177">
        <f t="shared" si="11"/>
        <v>2622</v>
      </c>
      <c r="I32" s="177">
        <f t="shared" si="11"/>
        <v>2662</v>
      </c>
      <c r="J32" s="177">
        <f aca="true" t="shared" si="12" ref="J32:P32">SUM(J33:J36)</f>
        <v>2668</v>
      </c>
      <c r="K32" s="177">
        <f t="shared" si="12"/>
        <v>2695</v>
      </c>
      <c r="L32" s="177">
        <f t="shared" si="12"/>
        <v>2741</v>
      </c>
      <c r="M32" s="177">
        <f t="shared" si="12"/>
        <v>2776</v>
      </c>
      <c r="N32" s="177">
        <f t="shared" si="12"/>
        <v>2808</v>
      </c>
      <c r="O32" s="177">
        <f t="shared" si="12"/>
        <v>2818</v>
      </c>
      <c r="P32" s="177">
        <f t="shared" si="12"/>
        <v>2809</v>
      </c>
      <c r="Q32" s="177">
        <f aca="true" t="shared" si="13" ref="Q32:W32">SUM(Q33:Q36)</f>
        <v>2834</v>
      </c>
      <c r="R32" s="177">
        <f t="shared" si="13"/>
        <v>2930</v>
      </c>
      <c r="S32" s="177">
        <f t="shared" si="13"/>
        <v>2998</v>
      </c>
      <c r="T32" s="177">
        <f t="shared" si="13"/>
        <v>3038</v>
      </c>
      <c r="U32" s="177">
        <f t="shared" si="13"/>
        <v>3061</v>
      </c>
      <c r="V32" s="177">
        <f t="shared" si="13"/>
        <v>3108</v>
      </c>
      <c r="W32" s="177">
        <f t="shared" si="13"/>
        <v>3145</v>
      </c>
      <c r="X32" s="177">
        <f>SUM(X33:X36)</f>
        <v>3131</v>
      </c>
      <c r="Y32" s="177">
        <f>SUM(Y33:Y36)</f>
        <v>3132</v>
      </c>
      <c r="Z32" s="891">
        <f>SUM(Z33:Z36)</f>
        <v>3148</v>
      </c>
    </row>
    <row r="33" spans="1:26" ht="17.25" customHeight="1">
      <c r="A33" s="174" t="s">
        <v>182</v>
      </c>
      <c r="B33" s="181">
        <v>1299</v>
      </c>
      <c r="C33" s="181">
        <v>1349</v>
      </c>
      <c r="D33" s="181">
        <v>1387</v>
      </c>
      <c r="E33" s="181">
        <v>1395</v>
      </c>
      <c r="F33" s="181">
        <v>1436</v>
      </c>
      <c r="G33" s="181">
        <v>1445</v>
      </c>
      <c r="H33" s="181">
        <v>1463</v>
      </c>
      <c r="I33" s="181">
        <v>1472</v>
      </c>
      <c r="J33" s="181">
        <v>1477</v>
      </c>
      <c r="K33" s="181">
        <v>1497</v>
      </c>
      <c r="L33" s="181">
        <v>1519</v>
      </c>
      <c r="M33" s="181">
        <v>1540</v>
      </c>
      <c r="N33" s="181">
        <v>1553</v>
      </c>
      <c r="O33" s="181">
        <v>1557</v>
      </c>
      <c r="P33" s="181">
        <v>1552</v>
      </c>
      <c r="Q33" s="170">
        <v>1562</v>
      </c>
      <c r="R33" s="170">
        <v>1609</v>
      </c>
      <c r="S33" s="181">
        <v>1643</v>
      </c>
      <c r="T33" s="181">
        <v>1656</v>
      </c>
      <c r="U33" s="181">
        <v>1655</v>
      </c>
      <c r="V33" s="181">
        <v>1680</v>
      </c>
      <c r="W33" s="181">
        <v>1684</v>
      </c>
      <c r="X33" s="181">
        <v>1700</v>
      </c>
      <c r="Y33" s="181">
        <v>1700</v>
      </c>
      <c r="Z33" s="465">
        <v>1682</v>
      </c>
    </row>
    <row r="34" spans="1:26" ht="17.25" customHeight="1">
      <c r="A34" s="193" t="s">
        <v>184</v>
      </c>
      <c r="B34" s="181">
        <v>967</v>
      </c>
      <c r="C34" s="181">
        <v>1009</v>
      </c>
      <c r="D34" s="181">
        <v>1030</v>
      </c>
      <c r="E34" s="181">
        <v>1030</v>
      </c>
      <c r="F34" s="181">
        <v>1067</v>
      </c>
      <c r="G34" s="181">
        <v>1078</v>
      </c>
      <c r="H34" s="181">
        <v>1108</v>
      </c>
      <c r="I34" s="181">
        <v>1134</v>
      </c>
      <c r="J34" s="181">
        <v>1140</v>
      </c>
      <c r="K34" s="181">
        <v>1149</v>
      </c>
      <c r="L34" s="181">
        <v>1166</v>
      </c>
      <c r="M34" s="181">
        <v>1176</v>
      </c>
      <c r="N34" s="181">
        <v>1182</v>
      </c>
      <c r="O34" s="181">
        <v>1202</v>
      </c>
      <c r="P34" s="181">
        <v>1204</v>
      </c>
      <c r="Q34" s="170">
        <v>1218</v>
      </c>
      <c r="R34" s="170">
        <v>1251</v>
      </c>
      <c r="S34" s="181">
        <v>1273</v>
      </c>
      <c r="T34" s="181">
        <v>1294</v>
      </c>
      <c r="U34" s="181">
        <v>1311</v>
      </c>
      <c r="V34" s="181">
        <v>1328</v>
      </c>
      <c r="W34" s="181">
        <v>1342</v>
      </c>
      <c r="X34" s="181">
        <v>1330</v>
      </c>
      <c r="Y34" s="181">
        <v>1341</v>
      </c>
      <c r="Z34" s="465">
        <v>1371</v>
      </c>
    </row>
    <row r="35" spans="1:26" ht="17.25" customHeight="1">
      <c r="A35" s="174" t="s">
        <v>187</v>
      </c>
      <c r="B35" s="181">
        <v>0</v>
      </c>
      <c r="C35" s="181">
        <v>0</v>
      </c>
      <c r="D35" s="181">
        <v>0</v>
      </c>
      <c r="E35" s="181">
        <v>0</v>
      </c>
      <c r="F35" s="181">
        <v>0</v>
      </c>
      <c r="G35" s="181">
        <v>0</v>
      </c>
      <c r="H35" s="181">
        <v>0</v>
      </c>
      <c r="I35" s="181">
        <v>0</v>
      </c>
      <c r="J35" s="181">
        <v>0</v>
      </c>
      <c r="K35" s="181">
        <v>0</v>
      </c>
      <c r="L35" s="181">
        <v>0</v>
      </c>
      <c r="M35" s="181">
        <v>0</v>
      </c>
      <c r="N35" s="181">
        <v>0</v>
      </c>
      <c r="O35" s="181">
        <v>0</v>
      </c>
      <c r="P35" s="181">
        <v>0</v>
      </c>
      <c r="Q35" s="170">
        <v>0</v>
      </c>
      <c r="R35" s="170">
        <v>0</v>
      </c>
      <c r="S35" s="181">
        <v>0</v>
      </c>
      <c r="T35" s="181">
        <v>0</v>
      </c>
      <c r="U35" s="181">
        <v>0</v>
      </c>
      <c r="V35" s="181">
        <v>0</v>
      </c>
      <c r="W35" s="181">
        <v>0</v>
      </c>
      <c r="X35" s="181">
        <v>0</v>
      </c>
      <c r="Y35" s="181">
        <v>0</v>
      </c>
      <c r="Z35" s="465">
        <v>0</v>
      </c>
    </row>
    <row r="36" spans="1:26" ht="17.25" customHeight="1">
      <c r="A36" s="174" t="s">
        <v>199</v>
      </c>
      <c r="B36" s="181">
        <v>34</v>
      </c>
      <c r="C36" s="181">
        <v>36</v>
      </c>
      <c r="D36" s="181">
        <v>36</v>
      </c>
      <c r="E36" s="181">
        <v>38</v>
      </c>
      <c r="F36" s="181">
        <v>138</v>
      </c>
      <c r="G36" s="181">
        <v>98</v>
      </c>
      <c r="H36" s="181">
        <v>51</v>
      </c>
      <c r="I36" s="181">
        <v>56</v>
      </c>
      <c r="J36" s="181">
        <v>51</v>
      </c>
      <c r="K36" s="181">
        <v>49</v>
      </c>
      <c r="L36" s="181">
        <v>56</v>
      </c>
      <c r="M36" s="181">
        <v>60</v>
      </c>
      <c r="N36" s="181">
        <v>73</v>
      </c>
      <c r="O36" s="181">
        <v>59</v>
      </c>
      <c r="P36" s="181">
        <v>53</v>
      </c>
      <c r="Q36" s="170">
        <v>54</v>
      </c>
      <c r="R36" s="170">
        <v>70</v>
      </c>
      <c r="S36" s="181">
        <v>82</v>
      </c>
      <c r="T36" s="181">
        <v>88</v>
      </c>
      <c r="U36" s="181">
        <v>95</v>
      </c>
      <c r="V36" s="181">
        <v>100</v>
      </c>
      <c r="W36" s="181">
        <v>119</v>
      </c>
      <c r="X36" s="181">
        <v>101</v>
      </c>
      <c r="Y36" s="181">
        <v>91</v>
      </c>
      <c r="Z36" s="465">
        <v>95</v>
      </c>
    </row>
    <row r="37" spans="1:26" ht="18" customHeight="1">
      <c r="A37" s="176" t="s">
        <v>204</v>
      </c>
      <c r="B37" s="177">
        <f aca="true" t="shared" si="14" ref="B37:N37">SUM(B38:B41)</f>
        <v>1114</v>
      </c>
      <c r="C37" s="177">
        <f t="shared" si="14"/>
        <v>1136</v>
      </c>
      <c r="D37" s="177">
        <f t="shared" si="14"/>
        <v>1146</v>
      </c>
      <c r="E37" s="177">
        <f t="shared" si="14"/>
        <v>1141</v>
      </c>
      <c r="F37" s="177">
        <f t="shared" si="14"/>
        <v>1195</v>
      </c>
      <c r="G37" s="177">
        <f t="shared" si="14"/>
        <v>1249</v>
      </c>
      <c r="H37" s="177">
        <f t="shared" si="14"/>
        <v>1288</v>
      </c>
      <c r="I37" s="177">
        <f t="shared" si="14"/>
        <v>1317</v>
      </c>
      <c r="J37" s="177">
        <f t="shared" si="14"/>
        <v>1326</v>
      </c>
      <c r="K37" s="177">
        <f t="shared" si="14"/>
        <v>1348</v>
      </c>
      <c r="L37" s="177">
        <f t="shared" si="14"/>
        <v>1380</v>
      </c>
      <c r="M37" s="177">
        <f t="shared" si="14"/>
        <v>1389</v>
      </c>
      <c r="N37" s="177">
        <f t="shared" si="14"/>
        <v>1412</v>
      </c>
      <c r="O37" s="177">
        <f aca="true" t="shared" si="15" ref="O37:Z37">SUM(O38:O41)</f>
        <v>1423</v>
      </c>
      <c r="P37" s="177">
        <f t="shared" si="15"/>
        <v>1414</v>
      </c>
      <c r="Q37" s="177">
        <f t="shared" si="15"/>
        <v>1443</v>
      </c>
      <c r="R37" s="177">
        <f t="shared" si="15"/>
        <v>1482</v>
      </c>
      <c r="S37" s="177">
        <f t="shared" si="15"/>
        <v>1498</v>
      </c>
      <c r="T37" s="177">
        <f t="shared" si="15"/>
        <v>1531</v>
      </c>
      <c r="U37" s="177">
        <f t="shared" si="15"/>
        <v>1545</v>
      </c>
      <c r="V37" s="177">
        <f t="shared" si="15"/>
        <v>1557</v>
      </c>
      <c r="W37" s="177">
        <f t="shared" si="15"/>
        <v>1586</v>
      </c>
      <c r="X37" s="177">
        <f>SUM(X38:X41)</f>
        <v>1580</v>
      </c>
      <c r="Y37" s="177">
        <f>SUM(Y38:Y41)</f>
        <v>1578</v>
      </c>
      <c r="Z37" s="891">
        <f t="shared" si="15"/>
        <v>1606</v>
      </c>
    </row>
    <row r="38" spans="1:26" ht="17.25" customHeight="1">
      <c r="A38" s="174" t="s">
        <v>182</v>
      </c>
      <c r="B38" s="181">
        <v>686</v>
      </c>
      <c r="C38" s="181">
        <v>700</v>
      </c>
      <c r="D38" s="181">
        <v>699</v>
      </c>
      <c r="E38" s="181">
        <v>701</v>
      </c>
      <c r="F38" s="181">
        <v>726</v>
      </c>
      <c r="G38" s="181">
        <v>748</v>
      </c>
      <c r="H38" s="181">
        <v>767</v>
      </c>
      <c r="I38" s="181">
        <v>783</v>
      </c>
      <c r="J38" s="181">
        <v>792</v>
      </c>
      <c r="K38" s="181">
        <v>815</v>
      </c>
      <c r="L38" s="181">
        <v>821</v>
      </c>
      <c r="M38" s="181">
        <v>822</v>
      </c>
      <c r="N38" s="181">
        <v>828</v>
      </c>
      <c r="O38" s="181">
        <v>834</v>
      </c>
      <c r="P38" s="181">
        <v>829</v>
      </c>
      <c r="Q38" s="170">
        <v>841</v>
      </c>
      <c r="R38" s="170">
        <v>872</v>
      </c>
      <c r="S38" s="181">
        <v>880</v>
      </c>
      <c r="T38" s="181">
        <v>899</v>
      </c>
      <c r="U38" s="181">
        <v>906</v>
      </c>
      <c r="V38" s="181">
        <v>904</v>
      </c>
      <c r="W38" s="181">
        <v>927</v>
      </c>
      <c r="X38" s="181">
        <v>927</v>
      </c>
      <c r="Y38" s="181">
        <v>934</v>
      </c>
      <c r="Z38" s="465">
        <v>941</v>
      </c>
    </row>
    <row r="39" spans="1:26" ht="17.25" customHeight="1">
      <c r="A39" s="193" t="s">
        <v>184</v>
      </c>
      <c r="B39" s="181">
        <v>406</v>
      </c>
      <c r="C39" s="181">
        <v>411</v>
      </c>
      <c r="D39" s="181">
        <v>421</v>
      </c>
      <c r="E39" s="181">
        <v>412</v>
      </c>
      <c r="F39" s="181">
        <v>421</v>
      </c>
      <c r="G39" s="181">
        <v>451</v>
      </c>
      <c r="H39" s="181">
        <v>472</v>
      </c>
      <c r="I39" s="181">
        <v>483</v>
      </c>
      <c r="J39" s="181">
        <v>485</v>
      </c>
      <c r="K39" s="181">
        <v>489</v>
      </c>
      <c r="L39" s="181">
        <v>510</v>
      </c>
      <c r="M39" s="181">
        <v>518</v>
      </c>
      <c r="N39" s="181">
        <v>530</v>
      </c>
      <c r="O39" s="181">
        <v>537</v>
      </c>
      <c r="P39" s="181">
        <v>539</v>
      </c>
      <c r="Q39" s="170">
        <v>548</v>
      </c>
      <c r="R39" s="170">
        <v>555</v>
      </c>
      <c r="S39" s="181">
        <v>566</v>
      </c>
      <c r="T39" s="181">
        <v>586</v>
      </c>
      <c r="U39" s="181">
        <v>590</v>
      </c>
      <c r="V39" s="181">
        <v>603</v>
      </c>
      <c r="W39" s="181">
        <v>609</v>
      </c>
      <c r="X39" s="181">
        <v>605</v>
      </c>
      <c r="Y39" s="181">
        <v>598</v>
      </c>
      <c r="Z39" s="465">
        <v>621</v>
      </c>
    </row>
    <row r="40" spans="1:26" ht="17.25" customHeight="1">
      <c r="A40" s="174" t="s">
        <v>187</v>
      </c>
      <c r="B40" s="181">
        <v>2</v>
      </c>
      <c r="C40" s="181">
        <v>2</v>
      </c>
      <c r="D40" s="181">
        <v>2</v>
      </c>
      <c r="E40" s="181">
        <v>2</v>
      </c>
      <c r="F40" s="181">
        <v>1</v>
      </c>
      <c r="G40" s="181">
        <v>1</v>
      </c>
      <c r="H40" s="181">
        <v>1</v>
      </c>
      <c r="I40" s="181">
        <v>1</v>
      </c>
      <c r="J40" s="181">
        <v>0</v>
      </c>
      <c r="K40" s="181">
        <v>0</v>
      </c>
      <c r="L40" s="181">
        <v>0</v>
      </c>
      <c r="M40" s="181">
        <v>0</v>
      </c>
      <c r="N40" s="181">
        <v>0</v>
      </c>
      <c r="O40" s="181">
        <v>0</v>
      </c>
      <c r="P40" s="181">
        <v>0</v>
      </c>
      <c r="Q40" s="170">
        <v>0</v>
      </c>
      <c r="R40" s="170">
        <v>0</v>
      </c>
      <c r="S40" s="181">
        <v>0</v>
      </c>
      <c r="T40" s="181">
        <v>0</v>
      </c>
      <c r="U40" s="181">
        <v>0</v>
      </c>
      <c r="V40" s="181">
        <v>0</v>
      </c>
      <c r="W40" s="181">
        <v>0</v>
      </c>
      <c r="X40" s="181">
        <v>0</v>
      </c>
      <c r="Y40" s="181">
        <v>0</v>
      </c>
      <c r="Z40" s="465">
        <v>0</v>
      </c>
    </row>
    <row r="41" spans="1:26" ht="17.25" customHeight="1">
      <c r="A41" s="174" t="s">
        <v>199</v>
      </c>
      <c r="B41" s="181">
        <v>20</v>
      </c>
      <c r="C41" s="181">
        <v>23</v>
      </c>
      <c r="D41" s="181">
        <v>24</v>
      </c>
      <c r="E41" s="181">
        <v>26</v>
      </c>
      <c r="F41" s="181">
        <v>47</v>
      </c>
      <c r="G41" s="181">
        <v>49</v>
      </c>
      <c r="H41" s="181">
        <v>48</v>
      </c>
      <c r="I41" s="181">
        <v>50</v>
      </c>
      <c r="J41" s="181">
        <v>49</v>
      </c>
      <c r="K41" s="181">
        <v>44</v>
      </c>
      <c r="L41" s="181">
        <v>49</v>
      </c>
      <c r="M41" s="181">
        <v>49</v>
      </c>
      <c r="N41" s="181">
        <v>54</v>
      </c>
      <c r="O41" s="181">
        <v>52</v>
      </c>
      <c r="P41" s="181">
        <v>46</v>
      </c>
      <c r="Q41" s="170">
        <v>54</v>
      </c>
      <c r="R41" s="170">
        <v>55</v>
      </c>
      <c r="S41" s="181">
        <v>52</v>
      </c>
      <c r="T41" s="181">
        <v>46</v>
      </c>
      <c r="U41" s="181">
        <v>49</v>
      </c>
      <c r="V41" s="181">
        <v>50</v>
      </c>
      <c r="W41" s="181">
        <v>50</v>
      </c>
      <c r="X41" s="181">
        <v>48</v>
      </c>
      <c r="Y41" s="181">
        <v>46</v>
      </c>
      <c r="Z41" s="465">
        <v>44</v>
      </c>
    </row>
    <row r="42" spans="1:26" ht="17.25" customHeight="1">
      <c r="A42" s="176" t="s">
        <v>205</v>
      </c>
      <c r="B42" s="177">
        <f>1116+20</f>
        <v>1136</v>
      </c>
      <c r="C42" s="177">
        <f>1180+19</f>
        <v>1199</v>
      </c>
      <c r="D42" s="177">
        <f>1173+16</f>
        <v>1189</v>
      </c>
      <c r="E42" s="177">
        <f>1239+17</f>
        <v>1256</v>
      </c>
      <c r="F42" s="177">
        <f>1249+16</f>
        <v>1265</v>
      </c>
      <c r="G42" s="177">
        <f>1281+15</f>
        <v>1296</v>
      </c>
      <c r="H42" s="177">
        <f>1272+15</f>
        <v>1287</v>
      </c>
      <c r="I42" s="177">
        <v>1332</v>
      </c>
      <c r="J42" s="177">
        <v>1332</v>
      </c>
      <c r="K42" s="177">
        <v>1353</v>
      </c>
      <c r="L42" s="177">
        <v>1354</v>
      </c>
      <c r="M42" s="177">
        <v>1314</v>
      </c>
      <c r="N42" s="177">
        <v>1314</v>
      </c>
      <c r="O42" s="177">
        <v>1306</v>
      </c>
      <c r="P42" s="177">
        <v>1308</v>
      </c>
      <c r="Q42" s="177">
        <v>1498</v>
      </c>
      <c r="R42" s="177">
        <v>1544</v>
      </c>
      <c r="S42" s="177">
        <v>1479</v>
      </c>
      <c r="T42" s="177">
        <v>1178</v>
      </c>
      <c r="U42" s="177">
        <v>1144</v>
      </c>
      <c r="V42" s="177">
        <v>1072</v>
      </c>
      <c r="W42" s="177">
        <v>1115</v>
      </c>
      <c r="X42" s="177">
        <v>1041</v>
      </c>
      <c r="Y42" s="177">
        <v>1018</v>
      </c>
      <c r="Z42" s="891">
        <v>1005</v>
      </c>
    </row>
    <row r="43" ht="12" customHeight="1"/>
    <row r="44" spans="1:26" s="13" customFormat="1" ht="12" customHeight="1">
      <c r="A44" s="13" t="s">
        <v>206</v>
      </c>
      <c r="Z44" s="474"/>
    </row>
    <row r="45" ht="12" customHeight="1"/>
    <row r="46" ht="12.75">
      <c r="A46" s="8" t="s">
        <v>723</v>
      </c>
    </row>
    <row r="47" spans="1:26" s="17" customFormat="1" ht="12.75">
      <c r="A47" s="1106" t="s">
        <v>858</v>
      </c>
      <c r="B47" s="1106"/>
      <c r="C47" s="1106"/>
      <c r="D47" s="1106"/>
      <c r="E47" s="1106"/>
      <c r="F47" s="1106"/>
      <c r="G47" s="1106"/>
      <c r="H47" s="1106"/>
      <c r="I47" s="1106"/>
      <c r="J47" s="1106"/>
      <c r="K47" s="1106"/>
      <c r="L47" s="1106"/>
      <c r="M47" s="1106"/>
      <c r="N47" s="1106"/>
      <c r="O47" s="1106"/>
      <c r="P47" s="1106"/>
      <c r="Q47" s="1106"/>
      <c r="R47" s="1106"/>
      <c r="S47" s="1106"/>
      <c r="T47" s="1106"/>
      <c r="U47" s="1106"/>
      <c r="V47" s="1106"/>
      <c r="W47" s="1106"/>
      <c r="X47" s="1106"/>
      <c r="Y47" s="1106"/>
      <c r="Z47" s="1106"/>
    </row>
    <row r="48" spans="1:26" s="17" customFormat="1" ht="12.75">
      <c r="A48" s="1106" t="s">
        <v>859</v>
      </c>
      <c r="B48" s="1106"/>
      <c r="C48" s="1106"/>
      <c r="D48" s="1106"/>
      <c r="E48" s="1106"/>
      <c r="F48" s="1106"/>
      <c r="G48" s="1106"/>
      <c r="H48" s="1106"/>
      <c r="I48" s="1106"/>
      <c r="J48" s="1106"/>
      <c r="K48" s="1106"/>
      <c r="L48" s="1106"/>
      <c r="M48" s="1106"/>
      <c r="N48" s="1106"/>
      <c r="O48" s="1106"/>
      <c r="P48" s="1106"/>
      <c r="Q48" s="1106"/>
      <c r="R48" s="1106"/>
      <c r="S48" s="1106"/>
      <c r="T48" s="1106"/>
      <c r="U48" s="1106"/>
      <c r="V48" s="1106"/>
      <c r="W48" s="1106"/>
      <c r="X48" s="1106"/>
      <c r="Y48" s="1106"/>
      <c r="Z48" s="1106"/>
    </row>
    <row r="49" spans="1:26" s="2" customFormat="1" ht="12" customHeight="1">
      <c r="A49" s="13" t="s">
        <v>722</v>
      </c>
      <c r="B49" s="5"/>
      <c r="C49" s="5"/>
      <c r="D49" s="5"/>
      <c r="E49" s="5"/>
      <c r="F49" s="5"/>
      <c r="G49" s="5"/>
      <c r="H49" s="5"/>
      <c r="Q49"/>
      <c r="R49"/>
      <c r="Z49" s="461"/>
    </row>
    <row r="51" ht="12.75">
      <c r="B51" s="7"/>
    </row>
    <row r="52" ht="12.75">
      <c r="B52" s="7"/>
    </row>
    <row r="54" spans="2:10" ht="12.75">
      <c r="B54" s="7"/>
      <c r="C54" s="7"/>
      <c r="D54" s="7"/>
      <c r="E54" s="7"/>
      <c r="F54" s="7"/>
      <c r="G54" s="7"/>
      <c r="H54" s="7"/>
      <c r="I54" s="7"/>
      <c r="J54" s="7"/>
    </row>
    <row r="55" spans="2:10" ht="12.75">
      <c r="B55" s="7"/>
      <c r="C55" s="7"/>
      <c r="D55" s="7"/>
      <c r="E55" s="7"/>
      <c r="F55" s="7"/>
      <c r="G55" s="7"/>
      <c r="H55" s="7"/>
      <c r="I55" s="7"/>
      <c r="J55" s="7"/>
    </row>
  </sheetData>
  <sheetProtection/>
  <mergeCells count="5">
    <mergeCell ref="A1:Z1"/>
    <mergeCell ref="A3:Z3"/>
    <mergeCell ref="A4:Z4"/>
    <mergeCell ref="A47:Z47"/>
    <mergeCell ref="A48:Z48"/>
  </mergeCells>
  <printOptions horizontalCentered="1"/>
  <pageMargins left="0.7874015748031497" right="0.7874015748031497" top="0.984251968503937" bottom="0.984251968503937" header="0" footer="0"/>
  <pageSetup fitToHeight="1" fitToWidth="1" horizontalDpi="600" verticalDpi="600" orientation="landscape" scale="47" r:id="rId1"/>
  <ignoredErrors>
    <ignoredError sqref="Z37 I37:T37" formulaRange="1"/>
  </ignoredErrors>
</worksheet>
</file>

<file path=xl/worksheets/sheet22.xml><?xml version="1.0" encoding="utf-8"?>
<worksheet xmlns="http://schemas.openxmlformats.org/spreadsheetml/2006/main" xmlns:r="http://schemas.openxmlformats.org/officeDocument/2006/relationships">
  <sheetPr>
    <tabColor theme="9" tint="-0.24997000396251678"/>
    <pageSetUpPr fitToPage="1"/>
  </sheetPr>
  <dimension ref="A1:AB21"/>
  <sheetViews>
    <sheetView zoomScalePageLayoutView="0" workbookViewId="0" topLeftCell="A1">
      <pane xSplit="1" ySplit="7" topLeftCell="B8" activePane="bottomRight" state="frozen"/>
      <selection pane="topLeft" activeCell="A1" sqref="A1:X1"/>
      <selection pane="topRight" activeCell="A1" sqref="A1:X1"/>
      <selection pane="bottomLeft" activeCell="A1" sqref="A1:X1"/>
      <selection pane="bottomRight" activeCell="A1" sqref="A1:Z1"/>
    </sheetView>
  </sheetViews>
  <sheetFormatPr defaultColWidth="10.8515625" defaultRowHeight="12.75"/>
  <cols>
    <col min="1" max="1" width="32.7109375" style="65" customWidth="1"/>
    <col min="2" max="10" width="10.7109375" style="65" customWidth="1"/>
    <col min="11" max="24" width="10.8515625" style="65" customWidth="1"/>
    <col min="25" max="25" width="10.8515625" style="1065" customWidth="1"/>
    <col min="26" max="26" width="10.8515625" style="753" customWidth="1"/>
    <col min="27" max="16384" width="10.8515625" style="65" customWidth="1"/>
  </cols>
  <sheetData>
    <row r="1" spans="1:26" ht="12.75">
      <c r="A1" s="1171" t="s">
        <v>207</v>
      </c>
      <c r="B1" s="1171"/>
      <c r="C1" s="1171"/>
      <c r="D1" s="1171"/>
      <c r="E1" s="1171"/>
      <c r="F1" s="1171"/>
      <c r="G1" s="1171"/>
      <c r="H1" s="1171"/>
      <c r="I1" s="1171"/>
      <c r="J1" s="1171"/>
      <c r="K1" s="1171"/>
      <c r="L1" s="1171"/>
      <c r="M1" s="1171"/>
      <c r="N1" s="1171"/>
      <c r="O1" s="1171"/>
      <c r="P1" s="1171"/>
      <c r="Q1" s="1171"/>
      <c r="R1" s="1171"/>
      <c r="S1" s="1171"/>
      <c r="T1" s="1171"/>
      <c r="U1" s="1171"/>
      <c r="V1" s="1171"/>
      <c r="W1" s="1171"/>
      <c r="X1" s="1171"/>
      <c r="Y1" s="1171"/>
      <c r="Z1" s="1182"/>
    </row>
    <row r="3" spans="1:26" ht="18" customHeight="1">
      <c r="A3" s="1116" t="s">
        <v>14</v>
      </c>
      <c r="B3" s="1116"/>
      <c r="C3" s="1116"/>
      <c r="D3" s="1116"/>
      <c r="E3" s="1116"/>
      <c r="F3" s="1116"/>
      <c r="G3" s="1116"/>
      <c r="H3" s="1116"/>
      <c r="I3" s="1116"/>
      <c r="J3" s="1116"/>
      <c r="K3" s="1116"/>
      <c r="L3" s="1116"/>
      <c r="M3" s="1116"/>
      <c r="N3" s="1116"/>
      <c r="O3" s="1116"/>
      <c r="P3" s="1116"/>
      <c r="Q3" s="1116"/>
      <c r="R3" s="1116"/>
      <c r="S3" s="1116"/>
      <c r="T3" s="1116"/>
      <c r="U3" s="1116"/>
      <c r="V3" s="1116"/>
      <c r="W3" s="1116"/>
      <c r="X3" s="1116"/>
      <c r="Y3" s="1116"/>
      <c r="Z3" s="1123"/>
    </row>
    <row r="4" spans="1:26" ht="18" customHeight="1">
      <c r="A4" s="1117" t="s">
        <v>851</v>
      </c>
      <c r="B4" s="1117"/>
      <c r="C4" s="1117"/>
      <c r="D4" s="1117"/>
      <c r="E4" s="1117"/>
      <c r="F4" s="1117"/>
      <c r="G4" s="1117"/>
      <c r="H4" s="1117"/>
      <c r="I4" s="1117"/>
      <c r="J4" s="1117"/>
      <c r="K4" s="1117"/>
      <c r="L4" s="1117"/>
      <c r="M4" s="1117"/>
      <c r="N4" s="1117"/>
      <c r="O4" s="1117"/>
      <c r="P4" s="1117"/>
      <c r="Q4" s="1117"/>
      <c r="R4" s="1117"/>
      <c r="S4" s="1117"/>
      <c r="T4" s="1117"/>
      <c r="U4" s="1117"/>
      <c r="V4" s="1117"/>
      <c r="W4" s="1117"/>
      <c r="X4" s="1117"/>
      <c r="Y4" s="1117"/>
      <c r="Z4" s="1125"/>
    </row>
    <row r="5" spans="2:10" ht="18" customHeight="1">
      <c r="B5" s="541"/>
      <c r="C5" s="541"/>
      <c r="D5" s="541"/>
      <c r="E5" s="541"/>
      <c r="F5" s="541"/>
      <c r="G5" s="541"/>
      <c r="H5" s="541"/>
      <c r="I5" s="541"/>
      <c r="J5" s="541"/>
    </row>
    <row r="6" spans="1:26" s="52" customFormat="1" ht="18" customHeight="1">
      <c r="A6" s="521"/>
      <c r="B6" s="509">
        <v>2000</v>
      </c>
      <c r="C6" s="509">
        <v>2001</v>
      </c>
      <c r="D6" s="509">
        <v>2002</v>
      </c>
      <c r="E6" s="509">
        <v>2003</v>
      </c>
      <c r="F6" s="509">
        <v>2004</v>
      </c>
      <c r="G6" s="509">
        <v>2005</v>
      </c>
      <c r="H6" s="509">
        <v>2006</v>
      </c>
      <c r="I6" s="509">
        <v>2007</v>
      </c>
      <c r="J6" s="509">
        <v>2008</v>
      </c>
      <c r="K6" s="509">
        <v>2009</v>
      </c>
      <c r="L6" s="509">
        <v>2010</v>
      </c>
      <c r="M6" s="509">
        <v>2011</v>
      </c>
      <c r="N6" s="509">
        <v>2012</v>
      </c>
      <c r="O6" s="509">
        <v>2013</v>
      </c>
      <c r="P6" s="509">
        <v>2014</v>
      </c>
      <c r="Q6" s="509">
        <v>2015</v>
      </c>
      <c r="R6" s="509">
        <v>2016</v>
      </c>
      <c r="S6" s="509">
        <v>2017</v>
      </c>
      <c r="T6" s="509">
        <v>2018</v>
      </c>
      <c r="U6" s="509">
        <v>2019</v>
      </c>
      <c r="V6" s="509">
        <v>2020</v>
      </c>
      <c r="W6" s="509">
        <v>2021</v>
      </c>
      <c r="X6" s="509">
        <v>2022</v>
      </c>
      <c r="Y6" s="509">
        <v>2023</v>
      </c>
      <c r="Z6" s="802">
        <v>2024</v>
      </c>
    </row>
    <row r="7" spans="1:26" ht="16.5" customHeight="1">
      <c r="A7" s="542" t="s">
        <v>61</v>
      </c>
      <c r="B7" s="358">
        <f aca="true" t="shared" si="0" ref="B7:N7">B15+B11+B8</f>
        <v>764</v>
      </c>
      <c r="C7" s="358">
        <f t="shared" si="0"/>
        <v>813</v>
      </c>
      <c r="D7" s="358">
        <f t="shared" si="0"/>
        <v>856</v>
      </c>
      <c r="E7" s="358">
        <f t="shared" si="0"/>
        <v>881</v>
      </c>
      <c r="F7" s="358">
        <f t="shared" si="0"/>
        <v>925</v>
      </c>
      <c r="G7" s="358">
        <f t="shared" si="0"/>
        <v>939</v>
      </c>
      <c r="H7" s="358">
        <f t="shared" si="0"/>
        <v>981</v>
      </c>
      <c r="I7" s="358">
        <f t="shared" si="0"/>
        <v>1005</v>
      </c>
      <c r="J7" s="358">
        <f t="shared" si="0"/>
        <v>1034</v>
      </c>
      <c r="K7" s="358">
        <f t="shared" si="0"/>
        <v>1064</v>
      </c>
      <c r="L7" s="358">
        <f t="shared" si="0"/>
        <v>1068</v>
      </c>
      <c r="M7" s="358">
        <f t="shared" si="0"/>
        <v>1100.8</v>
      </c>
      <c r="N7" s="358">
        <f t="shared" si="0"/>
        <v>1191</v>
      </c>
      <c r="O7" s="358">
        <f>O15+O11+O8</f>
        <v>1237</v>
      </c>
      <c r="P7" s="358">
        <f aca="true" t="shared" si="1" ref="P7:U7">P15+P11+P8</f>
        <v>1355</v>
      </c>
      <c r="Q7" s="358">
        <f t="shared" si="1"/>
        <v>1411</v>
      </c>
      <c r="R7" s="358">
        <f t="shared" si="1"/>
        <v>1632</v>
      </c>
      <c r="S7" s="358">
        <f t="shared" si="1"/>
        <v>1706</v>
      </c>
      <c r="T7" s="358">
        <f t="shared" si="1"/>
        <v>1868</v>
      </c>
      <c r="U7" s="358">
        <f t="shared" si="1"/>
        <v>2047</v>
      </c>
      <c r="V7" s="358">
        <f>V15+V11+V8</f>
        <v>2128.6</v>
      </c>
      <c r="W7" s="358">
        <f>W15+W11+W8</f>
        <v>2216</v>
      </c>
      <c r="X7" s="358">
        <f>X15+X11+X8</f>
        <v>2437</v>
      </c>
      <c r="Y7" s="358">
        <f>Y15+Y11+Y8</f>
        <v>2461</v>
      </c>
      <c r="Z7" s="826">
        <f>Z15+Z11+Z8</f>
        <v>2738</v>
      </c>
    </row>
    <row r="8" spans="1:26" ht="18" customHeight="1">
      <c r="A8" s="510" t="s">
        <v>208</v>
      </c>
      <c r="B8" s="358">
        <f>SUM(B9:B10)</f>
        <v>616</v>
      </c>
      <c r="C8" s="358">
        <f aca="true" t="shared" si="2" ref="C8:N8">SUM(C9:C10)</f>
        <v>647</v>
      </c>
      <c r="D8" s="358">
        <f t="shared" si="2"/>
        <v>689</v>
      </c>
      <c r="E8" s="358">
        <f t="shared" si="2"/>
        <v>713</v>
      </c>
      <c r="F8" s="358">
        <f t="shared" si="2"/>
        <v>748</v>
      </c>
      <c r="G8" s="358">
        <f t="shared" si="2"/>
        <v>767</v>
      </c>
      <c r="H8" s="358">
        <f t="shared" si="2"/>
        <v>790</v>
      </c>
      <c r="I8" s="358">
        <f t="shared" si="2"/>
        <v>807</v>
      </c>
      <c r="J8" s="358">
        <f t="shared" si="2"/>
        <v>823</v>
      </c>
      <c r="K8" s="358">
        <f t="shared" si="2"/>
        <v>843</v>
      </c>
      <c r="L8" s="358">
        <f t="shared" si="2"/>
        <v>838</v>
      </c>
      <c r="M8" s="358">
        <f t="shared" si="2"/>
        <v>859.8</v>
      </c>
      <c r="N8" s="358">
        <f t="shared" si="2"/>
        <v>885</v>
      </c>
      <c r="O8" s="358">
        <f>SUM(O9:O10)</f>
        <v>895</v>
      </c>
      <c r="P8" s="358">
        <f aca="true" t="shared" si="3" ref="P8:U8">SUM(P9:P10)</f>
        <v>907</v>
      </c>
      <c r="Q8" s="358">
        <f t="shared" si="3"/>
        <v>924</v>
      </c>
      <c r="R8" s="358">
        <f t="shared" si="3"/>
        <v>970</v>
      </c>
      <c r="S8" s="358">
        <f t="shared" si="3"/>
        <v>997</v>
      </c>
      <c r="T8" s="358">
        <f t="shared" si="3"/>
        <v>1001</v>
      </c>
      <c r="U8" s="358">
        <f t="shared" si="3"/>
        <v>1067</v>
      </c>
      <c r="V8" s="358">
        <f>SUM(V9:V10)</f>
        <v>1084</v>
      </c>
      <c r="W8" s="358">
        <f>SUM(W9:W10)</f>
        <v>1105</v>
      </c>
      <c r="X8" s="358">
        <f>SUM(X9:X10)</f>
        <v>1110</v>
      </c>
      <c r="Y8" s="358">
        <f>SUM(Y9:Y10)</f>
        <v>1115</v>
      </c>
      <c r="Z8" s="826">
        <f>SUM(Z9:Z10)</f>
        <v>1065</v>
      </c>
    </row>
    <row r="9" spans="1:28" ht="18" customHeight="1">
      <c r="A9" s="512" t="s">
        <v>182</v>
      </c>
      <c r="B9" s="374">
        <v>379</v>
      </c>
      <c r="C9" s="374">
        <v>399</v>
      </c>
      <c r="D9" s="374">
        <v>427</v>
      </c>
      <c r="E9" s="374">
        <v>447</v>
      </c>
      <c r="F9" s="374">
        <v>458</v>
      </c>
      <c r="G9" s="374">
        <v>469</v>
      </c>
      <c r="H9" s="374">
        <v>481</v>
      </c>
      <c r="I9" s="374">
        <v>492</v>
      </c>
      <c r="J9" s="374">
        <v>500</v>
      </c>
      <c r="K9" s="374">
        <v>513</v>
      </c>
      <c r="L9" s="374">
        <v>503</v>
      </c>
      <c r="M9" s="374">
        <v>517.3</v>
      </c>
      <c r="N9" s="374">
        <v>530</v>
      </c>
      <c r="O9" s="374">
        <v>538</v>
      </c>
      <c r="P9" s="374">
        <v>540</v>
      </c>
      <c r="Q9" s="374">
        <v>558</v>
      </c>
      <c r="R9" s="374">
        <v>585</v>
      </c>
      <c r="S9" s="374">
        <v>604</v>
      </c>
      <c r="T9" s="374">
        <v>597</v>
      </c>
      <c r="U9" s="374">
        <v>639</v>
      </c>
      <c r="V9" s="374">
        <v>648</v>
      </c>
      <c r="W9" s="374">
        <v>664</v>
      </c>
      <c r="X9" s="374">
        <v>668</v>
      </c>
      <c r="Y9" s="1064">
        <v>672</v>
      </c>
      <c r="Z9" s="985">
        <v>638</v>
      </c>
      <c r="AA9" s="407"/>
      <c r="AB9" s="407"/>
    </row>
    <row r="10" spans="1:26" ht="18" customHeight="1">
      <c r="A10" s="512" t="s">
        <v>198</v>
      </c>
      <c r="B10" s="374">
        <v>237</v>
      </c>
      <c r="C10" s="374">
        <v>248</v>
      </c>
      <c r="D10" s="374">
        <v>262</v>
      </c>
      <c r="E10" s="374">
        <v>266</v>
      </c>
      <c r="F10" s="374">
        <v>290</v>
      </c>
      <c r="G10" s="374">
        <v>298</v>
      </c>
      <c r="H10" s="374">
        <v>309</v>
      </c>
      <c r="I10" s="374">
        <v>315</v>
      </c>
      <c r="J10" s="374">
        <v>323</v>
      </c>
      <c r="K10" s="374">
        <v>330</v>
      </c>
      <c r="L10" s="374">
        <v>335</v>
      </c>
      <c r="M10" s="374">
        <v>342.5</v>
      </c>
      <c r="N10" s="374">
        <v>355</v>
      </c>
      <c r="O10" s="374">
        <v>357</v>
      </c>
      <c r="P10" s="374">
        <v>367</v>
      </c>
      <c r="Q10" s="374">
        <v>366</v>
      </c>
      <c r="R10" s="374">
        <v>385</v>
      </c>
      <c r="S10" s="374">
        <v>393</v>
      </c>
      <c r="T10" s="374">
        <v>404</v>
      </c>
      <c r="U10" s="374">
        <v>428</v>
      </c>
      <c r="V10" s="374">
        <v>436</v>
      </c>
      <c r="W10" s="374">
        <v>441</v>
      </c>
      <c r="X10" s="374">
        <v>442</v>
      </c>
      <c r="Y10" s="1064">
        <v>443</v>
      </c>
      <c r="Z10" s="985">
        <v>427</v>
      </c>
    </row>
    <row r="11" spans="1:26" ht="18" customHeight="1">
      <c r="A11" s="510" t="s">
        <v>209</v>
      </c>
      <c r="B11" s="358">
        <f>SUM(B12:B14)</f>
        <v>81</v>
      </c>
      <c r="C11" s="358">
        <f aca="true" t="shared" si="4" ref="C11:N11">SUM(C12:C14)</f>
        <v>89</v>
      </c>
      <c r="D11" s="358">
        <f t="shared" si="4"/>
        <v>86</v>
      </c>
      <c r="E11" s="358">
        <f t="shared" si="4"/>
        <v>86</v>
      </c>
      <c r="F11" s="358">
        <f t="shared" si="4"/>
        <v>93</v>
      </c>
      <c r="G11" s="358">
        <f t="shared" si="4"/>
        <v>96</v>
      </c>
      <c r="H11" s="358">
        <f t="shared" si="4"/>
        <v>97</v>
      </c>
      <c r="I11" s="358">
        <f t="shared" si="4"/>
        <v>102</v>
      </c>
      <c r="J11" s="358">
        <f t="shared" si="4"/>
        <v>104</v>
      </c>
      <c r="K11" s="358">
        <f t="shared" si="4"/>
        <v>106</v>
      </c>
      <c r="L11" s="358">
        <f t="shared" si="4"/>
        <v>107</v>
      </c>
      <c r="M11" s="358">
        <f t="shared" si="4"/>
        <v>115</v>
      </c>
      <c r="N11" s="358">
        <f t="shared" si="4"/>
        <v>129</v>
      </c>
      <c r="O11" s="358">
        <f>SUM(O12:O14)</f>
        <v>125</v>
      </c>
      <c r="P11" s="358">
        <f aca="true" t="shared" si="5" ref="P11:U11">SUM(P12:P14)</f>
        <v>122</v>
      </c>
      <c r="Q11" s="358">
        <f t="shared" si="5"/>
        <v>128</v>
      </c>
      <c r="R11" s="358">
        <f t="shared" si="5"/>
        <v>135</v>
      </c>
      <c r="S11" s="358">
        <f t="shared" si="5"/>
        <v>160</v>
      </c>
      <c r="T11" s="358">
        <f t="shared" si="5"/>
        <v>162</v>
      </c>
      <c r="U11" s="358">
        <f t="shared" si="5"/>
        <v>168</v>
      </c>
      <c r="V11" s="358">
        <f>SUM(V12:V14)</f>
        <v>176.6</v>
      </c>
      <c r="W11" s="358">
        <f>SUM(W12:W14)</f>
        <v>175</v>
      </c>
      <c r="X11" s="358">
        <f>SUM(X12:X14)</f>
        <v>179</v>
      </c>
      <c r="Y11" s="358">
        <f>SUM(Y12:Y14)</f>
        <v>185</v>
      </c>
      <c r="Z11" s="826">
        <f>SUM(Z12:Z14)</f>
        <v>146</v>
      </c>
    </row>
    <row r="12" spans="1:26" ht="18" customHeight="1">
      <c r="A12" s="512" t="s">
        <v>182</v>
      </c>
      <c r="B12" s="374">
        <v>59</v>
      </c>
      <c r="C12" s="374">
        <v>60</v>
      </c>
      <c r="D12" s="374">
        <v>57</v>
      </c>
      <c r="E12" s="374">
        <v>57</v>
      </c>
      <c r="F12" s="374">
        <v>63</v>
      </c>
      <c r="G12" s="374">
        <v>64</v>
      </c>
      <c r="H12" s="374">
        <v>68</v>
      </c>
      <c r="I12" s="374">
        <v>70</v>
      </c>
      <c r="J12" s="374">
        <v>73</v>
      </c>
      <c r="K12" s="374">
        <v>73</v>
      </c>
      <c r="L12" s="374">
        <v>75</v>
      </c>
      <c r="M12" s="374">
        <v>78</v>
      </c>
      <c r="N12" s="374">
        <v>87</v>
      </c>
      <c r="O12" s="374">
        <v>82</v>
      </c>
      <c r="P12" s="374">
        <v>79</v>
      </c>
      <c r="Q12" s="374">
        <v>82</v>
      </c>
      <c r="R12" s="374">
        <v>86</v>
      </c>
      <c r="S12" s="374">
        <v>102</v>
      </c>
      <c r="T12" s="374">
        <v>103</v>
      </c>
      <c r="U12" s="374">
        <v>107</v>
      </c>
      <c r="V12" s="374">
        <v>112</v>
      </c>
      <c r="W12" s="374">
        <v>115</v>
      </c>
      <c r="X12" s="374">
        <v>119</v>
      </c>
      <c r="Y12" s="1064">
        <v>123</v>
      </c>
      <c r="Z12" s="804">
        <v>96</v>
      </c>
    </row>
    <row r="13" spans="1:26" ht="18" customHeight="1">
      <c r="A13" s="512" t="s">
        <v>198</v>
      </c>
      <c r="B13" s="374">
        <v>22</v>
      </c>
      <c r="C13" s="374">
        <v>22</v>
      </c>
      <c r="D13" s="374">
        <v>22</v>
      </c>
      <c r="E13" s="374">
        <v>23</v>
      </c>
      <c r="F13" s="374">
        <v>23</v>
      </c>
      <c r="G13" s="374">
        <v>22</v>
      </c>
      <c r="H13" s="374">
        <v>24</v>
      </c>
      <c r="I13" s="374">
        <v>25</v>
      </c>
      <c r="J13" s="374">
        <v>28</v>
      </c>
      <c r="K13" s="374">
        <v>29</v>
      </c>
      <c r="L13" s="374">
        <v>28</v>
      </c>
      <c r="M13" s="374">
        <v>33</v>
      </c>
      <c r="N13" s="374">
        <v>38</v>
      </c>
      <c r="O13" s="374">
        <v>39</v>
      </c>
      <c r="P13" s="374">
        <v>39</v>
      </c>
      <c r="Q13" s="374">
        <v>39</v>
      </c>
      <c r="R13" s="374">
        <v>43</v>
      </c>
      <c r="S13" s="374">
        <v>52</v>
      </c>
      <c r="T13" s="374">
        <v>53</v>
      </c>
      <c r="U13" s="374">
        <v>55</v>
      </c>
      <c r="V13" s="374">
        <v>59</v>
      </c>
      <c r="W13" s="374">
        <v>54</v>
      </c>
      <c r="X13" s="374">
        <v>58</v>
      </c>
      <c r="Y13" s="1064">
        <v>56</v>
      </c>
      <c r="Z13" s="804">
        <v>40</v>
      </c>
    </row>
    <row r="14" spans="1:26" ht="18" customHeight="1">
      <c r="A14" s="512" t="s">
        <v>153</v>
      </c>
      <c r="B14" s="374">
        <v>0</v>
      </c>
      <c r="C14" s="374">
        <v>7</v>
      </c>
      <c r="D14" s="374">
        <v>7</v>
      </c>
      <c r="E14" s="374">
        <v>6</v>
      </c>
      <c r="F14" s="374">
        <v>7</v>
      </c>
      <c r="G14" s="374">
        <v>10</v>
      </c>
      <c r="H14" s="374">
        <v>5</v>
      </c>
      <c r="I14" s="374">
        <v>7</v>
      </c>
      <c r="J14" s="374">
        <v>3</v>
      </c>
      <c r="K14" s="374">
        <v>4</v>
      </c>
      <c r="L14" s="374">
        <v>4</v>
      </c>
      <c r="M14" s="374">
        <v>4</v>
      </c>
      <c r="N14" s="374">
        <v>4</v>
      </c>
      <c r="O14" s="374">
        <v>4</v>
      </c>
      <c r="P14" s="374">
        <v>4</v>
      </c>
      <c r="Q14" s="374">
        <v>7</v>
      </c>
      <c r="R14" s="374">
        <v>6</v>
      </c>
      <c r="S14" s="374">
        <v>6</v>
      </c>
      <c r="T14" s="374">
        <v>6</v>
      </c>
      <c r="U14" s="374">
        <v>6</v>
      </c>
      <c r="V14" s="374">
        <v>5.6</v>
      </c>
      <c r="W14" s="374">
        <v>6</v>
      </c>
      <c r="X14" s="374">
        <v>2</v>
      </c>
      <c r="Y14" s="1064">
        <v>6</v>
      </c>
      <c r="Z14" s="804">
        <v>10</v>
      </c>
    </row>
    <row r="15" spans="1:26" ht="18" customHeight="1">
      <c r="A15" s="510" t="s">
        <v>417</v>
      </c>
      <c r="B15" s="358">
        <f>SUM(B16:B17)</f>
        <v>67</v>
      </c>
      <c r="C15" s="358">
        <f aca="true" t="shared" si="6" ref="C15:I15">SUM(C16:C17)</f>
        <v>77</v>
      </c>
      <c r="D15" s="358">
        <f t="shared" si="6"/>
        <v>81</v>
      </c>
      <c r="E15" s="358">
        <f t="shared" si="6"/>
        <v>82</v>
      </c>
      <c r="F15" s="358">
        <f t="shared" si="6"/>
        <v>84</v>
      </c>
      <c r="G15" s="358">
        <f t="shared" si="6"/>
        <v>76</v>
      </c>
      <c r="H15" s="358">
        <f t="shared" si="6"/>
        <v>94</v>
      </c>
      <c r="I15" s="358">
        <f t="shared" si="6"/>
        <v>96</v>
      </c>
      <c r="J15" s="358">
        <f>SUM(J16:J17)</f>
        <v>107</v>
      </c>
      <c r="K15" s="358">
        <f>SUM(K16:K17)</f>
        <v>115</v>
      </c>
      <c r="L15" s="358">
        <f>SUM(L16:L17)</f>
        <v>123</v>
      </c>
      <c r="M15" s="358">
        <f>SUM(M16:M17)</f>
        <v>126</v>
      </c>
      <c r="N15" s="358">
        <f aca="true" t="shared" si="7" ref="N15:U15">SUM(N16:N17)</f>
        <v>177</v>
      </c>
      <c r="O15" s="358">
        <f t="shared" si="7"/>
        <v>217</v>
      </c>
      <c r="P15" s="358">
        <f t="shared" si="7"/>
        <v>326</v>
      </c>
      <c r="Q15" s="358">
        <f t="shared" si="7"/>
        <v>359</v>
      </c>
      <c r="R15" s="358">
        <f t="shared" si="7"/>
        <v>527</v>
      </c>
      <c r="S15" s="358">
        <f t="shared" si="7"/>
        <v>549</v>
      </c>
      <c r="T15" s="358">
        <f t="shared" si="7"/>
        <v>705</v>
      </c>
      <c r="U15" s="358">
        <f t="shared" si="7"/>
        <v>812</v>
      </c>
      <c r="V15" s="358">
        <f>SUM(V16:V17)</f>
        <v>868</v>
      </c>
      <c r="W15" s="358">
        <f>SUM(W16:W17)</f>
        <v>936</v>
      </c>
      <c r="X15" s="358">
        <f>SUM(X16:X17)</f>
        <v>1148</v>
      </c>
      <c r="Y15" s="358">
        <f>SUM(Y16:Y17)</f>
        <v>1161</v>
      </c>
      <c r="Z15" s="826">
        <f>SUM(Z16:Z17)</f>
        <v>1527</v>
      </c>
    </row>
    <row r="16" spans="1:26" ht="18" customHeight="1">
      <c r="A16" s="512" t="s">
        <v>153</v>
      </c>
      <c r="B16" s="374">
        <v>44</v>
      </c>
      <c r="C16" s="374">
        <v>59</v>
      </c>
      <c r="D16" s="374">
        <v>63</v>
      </c>
      <c r="E16" s="374">
        <v>56</v>
      </c>
      <c r="F16" s="374">
        <v>51</v>
      </c>
      <c r="G16" s="374">
        <v>50</v>
      </c>
      <c r="H16" s="374">
        <v>59</v>
      </c>
      <c r="I16" s="374">
        <v>61</v>
      </c>
      <c r="J16" s="374">
        <v>72</v>
      </c>
      <c r="K16" s="374">
        <v>85</v>
      </c>
      <c r="L16" s="374">
        <v>84</v>
      </c>
      <c r="M16" s="374">
        <v>83</v>
      </c>
      <c r="N16" s="374">
        <v>132</v>
      </c>
      <c r="O16" s="374">
        <v>171</v>
      </c>
      <c r="P16" s="374">
        <v>268</v>
      </c>
      <c r="Q16" s="374">
        <v>299</v>
      </c>
      <c r="R16" s="374">
        <v>447</v>
      </c>
      <c r="S16" s="374">
        <v>457</v>
      </c>
      <c r="T16" s="374">
        <v>614</v>
      </c>
      <c r="U16" s="374">
        <v>706</v>
      </c>
      <c r="V16" s="374">
        <v>755</v>
      </c>
      <c r="W16" s="374">
        <v>848</v>
      </c>
      <c r="X16" s="374">
        <v>1025</v>
      </c>
      <c r="Y16" s="1064">
        <v>1032</v>
      </c>
      <c r="Z16" s="804">
        <v>1133</v>
      </c>
    </row>
    <row r="17" spans="1:26" ht="16.5" customHeight="1">
      <c r="A17" s="512" t="s">
        <v>211</v>
      </c>
      <c r="B17" s="374">
        <v>23</v>
      </c>
      <c r="C17" s="374">
        <v>18</v>
      </c>
      <c r="D17" s="374">
        <v>18</v>
      </c>
      <c r="E17" s="374">
        <v>26</v>
      </c>
      <c r="F17" s="374">
        <v>33</v>
      </c>
      <c r="G17" s="374">
        <v>26</v>
      </c>
      <c r="H17" s="374">
        <v>35</v>
      </c>
      <c r="I17" s="374">
        <v>35</v>
      </c>
      <c r="J17" s="374">
        <v>35</v>
      </c>
      <c r="K17" s="374">
        <v>30</v>
      </c>
      <c r="L17" s="374">
        <v>39</v>
      </c>
      <c r="M17" s="374">
        <v>43</v>
      </c>
      <c r="N17" s="374">
        <v>45</v>
      </c>
      <c r="O17" s="374">
        <v>46</v>
      </c>
      <c r="P17" s="374">
        <v>58</v>
      </c>
      <c r="Q17" s="374">
        <v>60</v>
      </c>
      <c r="R17" s="374">
        <v>80</v>
      </c>
      <c r="S17" s="374">
        <v>92</v>
      </c>
      <c r="T17" s="374">
        <v>91</v>
      </c>
      <c r="U17" s="374">
        <v>106</v>
      </c>
      <c r="V17" s="374">
        <v>113</v>
      </c>
      <c r="W17" s="374">
        <v>88</v>
      </c>
      <c r="X17" s="374">
        <v>123</v>
      </c>
      <c r="Y17" s="1064">
        <v>129</v>
      </c>
      <c r="Z17" s="804">
        <v>394</v>
      </c>
    </row>
    <row r="18" spans="1:10" ht="12.75">
      <c r="A18" s="434"/>
      <c r="B18" s="407"/>
      <c r="C18" s="407"/>
      <c r="D18" s="407"/>
      <c r="E18" s="407"/>
      <c r="F18" s="407"/>
      <c r="G18" s="407"/>
      <c r="H18" s="543"/>
      <c r="I18" s="543"/>
      <c r="J18" s="543"/>
    </row>
    <row r="19" ht="12" customHeight="1">
      <c r="A19" s="53" t="s">
        <v>779</v>
      </c>
    </row>
    <row r="20" spans="1:26" ht="12.75">
      <c r="A20" s="1118" t="s">
        <v>858</v>
      </c>
      <c r="B20" s="1118"/>
      <c r="C20" s="1118"/>
      <c r="D20" s="1118"/>
      <c r="E20" s="1118"/>
      <c r="F20" s="1118"/>
      <c r="G20" s="1118"/>
      <c r="H20" s="1118"/>
      <c r="I20" s="1118"/>
      <c r="J20" s="1118"/>
      <c r="K20" s="1118"/>
      <c r="L20" s="1118"/>
      <c r="M20" s="1118"/>
      <c r="N20" s="1118"/>
      <c r="O20" s="1118"/>
      <c r="P20" s="1118"/>
      <c r="Q20" s="1118"/>
      <c r="R20" s="1118"/>
      <c r="S20" s="1118"/>
      <c r="T20" s="1118"/>
      <c r="U20" s="1118"/>
      <c r="V20" s="1118"/>
      <c r="W20" s="1118"/>
      <c r="X20" s="1118"/>
      <c r="Y20" s="1118"/>
      <c r="Z20" s="1118"/>
    </row>
    <row r="21" spans="1:26" ht="12.75">
      <c r="A21" s="1118" t="s">
        <v>859</v>
      </c>
      <c r="B21" s="1118"/>
      <c r="C21" s="1118"/>
      <c r="D21" s="1118"/>
      <c r="E21" s="1118"/>
      <c r="F21" s="1118"/>
      <c r="G21" s="1118"/>
      <c r="H21" s="1118"/>
      <c r="I21" s="1118"/>
      <c r="J21" s="1118"/>
      <c r="K21" s="1118"/>
      <c r="L21" s="1118"/>
      <c r="M21" s="1118"/>
      <c r="N21" s="1118"/>
      <c r="O21" s="1118"/>
      <c r="P21" s="1118"/>
      <c r="Q21" s="1118"/>
      <c r="R21" s="1118"/>
      <c r="S21" s="1118"/>
      <c r="T21" s="1118"/>
      <c r="U21" s="1118"/>
      <c r="V21" s="1118"/>
      <c r="W21" s="1118"/>
      <c r="X21" s="1118"/>
      <c r="Y21" s="1118"/>
      <c r="Z21" s="1118"/>
    </row>
  </sheetData>
  <sheetProtection/>
  <mergeCells count="5">
    <mergeCell ref="A1:Z1"/>
    <mergeCell ref="A3:Z3"/>
    <mergeCell ref="A4:Z4"/>
    <mergeCell ref="A20:Z20"/>
    <mergeCell ref="A21:Z21"/>
  </mergeCells>
  <printOptions horizontalCentered="1"/>
  <pageMargins left="0.7874015748031497" right="0.7874015748031497" top="0.984251968503937" bottom="0.984251968503937" header="0" footer="0"/>
  <pageSetup fitToHeight="1" fitToWidth="1" horizontalDpi="600" verticalDpi="600" orientation="landscape" scale="38"/>
</worksheet>
</file>

<file path=xl/worksheets/sheet23.xml><?xml version="1.0" encoding="utf-8"?>
<worksheet xmlns="http://schemas.openxmlformats.org/spreadsheetml/2006/main" xmlns:r="http://schemas.openxmlformats.org/officeDocument/2006/relationships">
  <sheetPr>
    <tabColor theme="9" tint="-0.24997000396251678"/>
    <pageSetUpPr fitToPage="1"/>
  </sheetPr>
  <dimension ref="A1:AB63"/>
  <sheetViews>
    <sheetView zoomScalePageLayoutView="0" workbookViewId="0" topLeftCell="A1">
      <selection activeCell="B9" sqref="B9"/>
    </sheetView>
  </sheetViews>
  <sheetFormatPr defaultColWidth="10.8515625" defaultRowHeight="12.75"/>
  <cols>
    <col min="1" max="1" width="39.7109375" style="65" customWidth="1"/>
    <col min="2" max="23" width="10.8515625" style="65" customWidth="1"/>
    <col min="24" max="24" width="10.8515625" style="1068" customWidth="1"/>
    <col min="25" max="25" width="10.8515625" style="753" customWidth="1"/>
    <col min="26" max="16384" width="10.8515625" style="65" customWidth="1"/>
  </cols>
  <sheetData>
    <row r="1" spans="1:25" ht="12.75">
      <c r="A1" s="1171" t="s">
        <v>692</v>
      </c>
      <c r="B1" s="1171"/>
      <c r="C1" s="1171"/>
      <c r="D1" s="1171"/>
      <c r="E1" s="1171"/>
      <c r="F1" s="1171"/>
      <c r="G1" s="1171"/>
      <c r="H1" s="1171"/>
      <c r="I1" s="1171"/>
      <c r="J1" s="1171"/>
      <c r="K1" s="1171"/>
      <c r="L1" s="1171"/>
      <c r="M1" s="1171"/>
      <c r="N1" s="1171"/>
      <c r="O1" s="1171"/>
      <c r="P1" s="1171"/>
      <c r="Q1" s="1171"/>
      <c r="R1" s="1171"/>
      <c r="S1" s="1171"/>
      <c r="T1" s="1171"/>
      <c r="U1" s="1171"/>
      <c r="V1" s="1171"/>
      <c r="W1" s="1171"/>
      <c r="X1" s="1171"/>
      <c r="Y1" s="1123"/>
    </row>
    <row r="3" spans="1:25" ht="18" customHeight="1">
      <c r="A3" s="1116" t="s">
        <v>212</v>
      </c>
      <c r="B3" s="1116"/>
      <c r="C3" s="1116"/>
      <c r="D3" s="1116"/>
      <c r="E3" s="1116"/>
      <c r="F3" s="1116"/>
      <c r="G3" s="1116"/>
      <c r="H3" s="1116"/>
      <c r="I3" s="1116"/>
      <c r="J3" s="1116"/>
      <c r="K3" s="1116"/>
      <c r="L3" s="1116"/>
      <c r="M3" s="1116"/>
      <c r="N3" s="1116"/>
      <c r="O3" s="1116"/>
      <c r="P3" s="1116"/>
      <c r="Q3" s="1116"/>
      <c r="R3" s="1116"/>
      <c r="S3" s="1116"/>
      <c r="T3" s="1116"/>
      <c r="U3" s="1116"/>
      <c r="V3" s="1116"/>
      <c r="W3" s="1116"/>
      <c r="X3" s="1116"/>
      <c r="Y3" s="1116"/>
    </row>
    <row r="4" spans="1:25" ht="18" customHeight="1">
      <c r="A4" s="1116" t="s">
        <v>652</v>
      </c>
      <c r="B4" s="1116"/>
      <c r="C4" s="1116"/>
      <c r="D4" s="1116"/>
      <c r="E4" s="1116"/>
      <c r="F4" s="1116"/>
      <c r="G4" s="1116"/>
      <c r="H4" s="1116"/>
      <c r="I4" s="1116"/>
      <c r="J4" s="1116"/>
      <c r="K4" s="1116"/>
      <c r="L4" s="1116"/>
      <c r="M4" s="1116"/>
      <c r="N4" s="1116"/>
      <c r="O4" s="1116"/>
      <c r="P4" s="1116"/>
      <c r="Q4" s="1116"/>
      <c r="R4" s="1116"/>
      <c r="S4" s="1116"/>
      <c r="T4" s="1116"/>
      <c r="U4" s="1116"/>
      <c r="V4" s="1116"/>
      <c r="W4" s="1116"/>
      <c r="X4" s="1116"/>
      <c r="Y4" s="1116"/>
    </row>
    <row r="5" spans="1:25" ht="18" customHeight="1">
      <c r="A5" s="1117" t="s">
        <v>778</v>
      </c>
      <c r="B5" s="1117"/>
      <c r="C5" s="1117"/>
      <c r="D5" s="1117"/>
      <c r="E5" s="1117"/>
      <c r="F5" s="1117"/>
      <c r="G5" s="1117"/>
      <c r="H5" s="1117"/>
      <c r="I5" s="1117"/>
      <c r="J5" s="1117"/>
      <c r="K5" s="1117"/>
      <c r="L5" s="1117"/>
      <c r="M5" s="1117"/>
      <c r="N5" s="1117"/>
      <c r="O5" s="1117"/>
      <c r="P5" s="1117"/>
      <c r="Q5" s="1117"/>
      <c r="R5" s="1117"/>
      <c r="S5" s="1117"/>
      <c r="T5" s="1117"/>
      <c r="U5" s="1117"/>
      <c r="V5" s="1117"/>
      <c r="W5" s="1117"/>
      <c r="X5" s="1117"/>
      <c r="Y5" s="1117"/>
    </row>
    <row r="6" ht="18" customHeight="1"/>
    <row r="7" spans="1:25" ht="18" customHeight="1">
      <c r="A7" s="587"/>
      <c r="B7" s="588">
        <v>2000</v>
      </c>
      <c r="C7" s="588">
        <v>2001</v>
      </c>
      <c r="D7" s="588">
        <v>2002</v>
      </c>
      <c r="E7" s="588">
        <v>2003</v>
      </c>
      <c r="F7" s="588">
        <v>2004</v>
      </c>
      <c r="G7" s="588">
        <v>2005</v>
      </c>
      <c r="H7" s="588">
        <v>2006</v>
      </c>
      <c r="I7" s="588">
        <v>2007</v>
      </c>
      <c r="J7" s="588">
        <v>2008</v>
      </c>
      <c r="K7" s="588">
        <v>2009</v>
      </c>
      <c r="L7" s="588">
        <v>2010</v>
      </c>
      <c r="M7" s="588">
        <v>2011</v>
      </c>
      <c r="N7" s="588">
        <v>2012</v>
      </c>
      <c r="O7" s="588">
        <v>2013</v>
      </c>
      <c r="P7" s="588">
        <v>2014</v>
      </c>
      <c r="Q7" s="588">
        <v>2015</v>
      </c>
      <c r="R7" s="588">
        <v>2016</v>
      </c>
      <c r="S7" s="588">
        <v>2017</v>
      </c>
      <c r="T7" s="588">
        <v>2018</v>
      </c>
      <c r="U7" s="588">
        <v>2019</v>
      </c>
      <c r="V7" s="588">
        <v>2020</v>
      </c>
      <c r="W7" s="588">
        <v>2021</v>
      </c>
      <c r="X7" s="588">
        <v>2022</v>
      </c>
      <c r="Y7" s="841">
        <v>2023</v>
      </c>
    </row>
    <row r="8" spans="1:25" ht="18" customHeight="1">
      <c r="A8" s="589" t="s">
        <v>514</v>
      </c>
      <c r="B8" s="590"/>
      <c r="C8" s="590"/>
      <c r="D8" s="590"/>
      <c r="E8" s="590"/>
      <c r="F8" s="590"/>
      <c r="G8" s="590"/>
      <c r="H8" s="590"/>
      <c r="I8" s="590"/>
      <c r="J8" s="590"/>
      <c r="K8" s="590"/>
      <c r="L8" s="590"/>
      <c r="M8" s="590"/>
      <c r="N8" s="590"/>
      <c r="O8" s="590"/>
      <c r="P8" s="590"/>
      <c r="Q8" s="590"/>
      <c r="R8" s="590"/>
      <c r="S8" s="590"/>
      <c r="T8" s="590"/>
      <c r="U8" s="590"/>
      <c r="V8" s="590"/>
      <c r="W8" s="590"/>
      <c r="X8" s="590"/>
      <c r="Y8" s="842"/>
    </row>
    <row r="9" spans="1:25" ht="18" customHeight="1">
      <c r="A9" s="591" t="s">
        <v>213</v>
      </c>
      <c r="B9" s="592"/>
      <c r="C9" s="592"/>
      <c r="D9" s="592"/>
      <c r="E9" s="592"/>
      <c r="F9" s="592"/>
      <c r="G9" s="592"/>
      <c r="H9" s="592"/>
      <c r="I9" s="592"/>
      <c r="J9" s="592"/>
      <c r="K9" s="592"/>
      <c r="L9" s="592"/>
      <c r="M9" s="592"/>
      <c r="N9" s="592"/>
      <c r="O9" s="592"/>
      <c r="P9" s="592"/>
      <c r="Q9" s="592"/>
      <c r="R9" s="592"/>
      <c r="S9" s="592"/>
      <c r="T9" s="592"/>
      <c r="U9" s="592"/>
      <c r="V9" s="592"/>
      <c r="W9" s="592"/>
      <c r="X9" s="592"/>
      <c r="Y9" s="843"/>
    </row>
    <row r="10" spans="1:25" ht="18" customHeight="1">
      <c r="A10" s="593" t="s">
        <v>693</v>
      </c>
      <c r="B10" s="374">
        <v>7967</v>
      </c>
      <c r="C10" s="374">
        <v>8283</v>
      </c>
      <c r="D10" s="374">
        <v>9034</v>
      </c>
      <c r="E10" s="374">
        <v>9366</v>
      </c>
      <c r="F10" s="374">
        <v>9587</v>
      </c>
      <c r="G10" s="374">
        <v>9869</v>
      </c>
      <c r="H10" s="374">
        <v>10183</v>
      </c>
      <c r="I10" s="594">
        <v>10396</v>
      </c>
      <c r="J10" s="594">
        <v>10519</v>
      </c>
      <c r="K10" s="594">
        <v>10681</v>
      </c>
      <c r="L10" s="595">
        <v>10816</v>
      </c>
      <c r="M10" s="596">
        <v>10960</v>
      </c>
      <c r="N10" s="596">
        <v>11077</v>
      </c>
      <c r="O10" s="596">
        <v>11447</v>
      </c>
      <c r="P10" s="596">
        <v>10793</v>
      </c>
      <c r="Q10" s="317">
        <v>10828</v>
      </c>
      <c r="R10" s="317">
        <v>10222</v>
      </c>
      <c r="S10" s="596">
        <v>9830</v>
      </c>
      <c r="T10" s="596">
        <v>9835</v>
      </c>
      <c r="U10" s="596">
        <v>9810</v>
      </c>
      <c r="V10" s="596">
        <v>10120</v>
      </c>
      <c r="W10" s="596">
        <v>10222</v>
      </c>
      <c r="X10" s="1075">
        <v>10264</v>
      </c>
      <c r="Y10" s="844">
        <v>10309</v>
      </c>
    </row>
    <row r="11" spans="1:25" s="408" customFormat="1" ht="18" customHeight="1">
      <c r="A11" s="593" t="s">
        <v>214</v>
      </c>
      <c r="B11" s="597">
        <v>1008.5</v>
      </c>
      <c r="C11" s="597">
        <v>1207.6</v>
      </c>
      <c r="D11" s="597">
        <v>1391.1</v>
      </c>
      <c r="E11" s="597">
        <v>1558</v>
      </c>
      <c r="F11" s="597">
        <v>1433</v>
      </c>
      <c r="G11" s="597">
        <v>1885.9</v>
      </c>
      <c r="H11" s="597">
        <v>2118.3</v>
      </c>
      <c r="I11" s="597">
        <v>2278.2</v>
      </c>
      <c r="J11" s="597">
        <v>2501.4</v>
      </c>
      <c r="K11" s="597">
        <v>2757.1</v>
      </c>
      <c r="L11" s="597">
        <v>3001.14</v>
      </c>
      <c r="M11" s="598">
        <v>3256.3</v>
      </c>
      <c r="N11" s="598">
        <v>3420.55</v>
      </c>
      <c r="O11" s="598">
        <v>3737</v>
      </c>
      <c r="P11" s="598">
        <v>3863.6</v>
      </c>
      <c r="Q11" s="318">
        <v>4015.88</v>
      </c>
      <c r="R11" s="318">
        <v>4097.08</v>
      </c>
      <c r="S11" s="598">
        <v>4211.2</v>
      </c>
      <c r="T11" s="598">
        <v>4322.77</v>
      </c>
      <c r="U11" s="598">
        <v>4401.2</v>
      </c>
      <c r="V11" s="598">
        <v>4368.6</v>
      </c>
      <c r="W11" s="598">
        <v>4547.8</v>
      </c>
      <c r="X11" s="1076">
        <v>4938.249763759977</v>
      </c>
      <c r="Y11" s="845">
        <v>5143.4</v>
      </c>
    </row>
    <row r="12" spans="1:25" s="408" customFormat="1" ht="18" customHeight="1">
      <c r="A12" s="593" t="s">
        <v>215</v>
      </c>
      <c r="B12" s="599" t="s">
        <v>90</v>
      </c>
      <c r="C12" s="599" t="s">
        <v>90</v>
      </c>
      <c r="D12" s="599" t="s">
        <v>90</v>
      </c>
      <c r="E12" s="599" t="s">
        <v>90</v>
      </c>
      <c r="F12" s="599" t="s">
        <v>90</v>
      </c>
      <c r="G12" s="599" t="s">
        <v>90</v>
      </c>
      <c r="H12" s="599">
        <v>0.92</v>
      </c>
      <c r="I12" s="66">
        <v>0.92</v>
      </c>
      <c r="J12" s="66">
        <v>0.92</v>
      </c>
      <c r="K12" s="66">
        <v>0.93</v>
      </c>
      <c r="L12" s="600">
        <v>0.94</v>
      </c>
      <c r="M12" s="601">
        <v>0.94</v>
      </c>
      <c r="N12" s="601">
        <v>0.93</v>
      </c>
      <c r="O12" s="601">
        <v>0.95</v>
      </c>
      <c r="P12" s="601">
        <v>0.92</v>
      </c>
      <c r="Q12" s="319">
        <v>0.88</v>
      </c>
      <c r="R12" s="319">
        <v>0.84</v>
      </c>
      <c r="S12" s="601">
        <v>0.8</v>
      </c>
      <c r="T12" s="601">
        <v>0.8</v>
      </c>
      <c r="U12" s="601">
        <v>0.8</v>
      </c>
      <c r="V12" s="601">
        <v>0.81</v>
      </c>
      <c r="W12" s="601">
        <v>0.82</v>
      </c>
      <c r="X12" s="1077">
        <v>0.82</v>
      </c>
      <c r="Y12" s="846">
        <v>0.83</v>
      </c>
    </row>
    <row r="13" spans="1:25" s="408" customFormat="1" ht="18" customHeight="1">
      <c r="A13" s="591" t="s">
        <v>216</v>
      </c>
      <c r="B13" s="592"/>
      <c r="C13" s="592"/>
      <c r="D13" s="592"/>
      <c r="E13" s="592"/>
      <c r="F13" s="592"/>
      <c r="G13" s="592"/>
      <c r="H13" s="592"/>
      <c r="I13" s="592"/>
      <c r="J13" s="592"/>
      <c r="K13" s="592"/>
      <c r="L13" s="592"/>
      <c r="M13" s="602"/>
      <c r="N13" s="602"/>
      <c r="O13" s="602"/>
      <c r="P13" s="602"/>
      <c r="Q13" s="602"/>
      <c r="R13" s="602"/>
      <c r="S13" s="602"/>
      <c r="T13" s="602"/>
      <c r="U13" s="602"/>
      <c r="V13" s="602"/>
      <c r="W13" s="602"/>
      <c r="X13" s="602"/>
      <c r="Y13" s="847"/>
    </row>
    <row r="14" spans="1:25" s="408" customFormat="1" ht="18" customHeight="1">
      <c r="A14" s="593" t="s">
        <v>693</v>
      </c>
      <c r="B14" s="374">
        <v>9525</v>
      </c>
      <c r="C14" s="374">
        <v>10454</v>
      </c>
      <c r="D14" s="374">
        <v>10688</v>
      </c>
      <c r="E14" s="374">
        <v>10787</v>
      </c>
      <c r="F14" s="374">
        <v>10650</v>
      </c>
      <c r="G14" s="374">
        <v>11191</v>
      </c>
      <c r="H14" s="374">
        <v>11938</v>
      </c>
      <c r="I14" s="594">
        <v>12705</v>
      </c>
      <c r="J14" s="594">
        <v>13004</v>
      </c>
      <c r="K14" s="594">
        <v>12856</v>
      </c>
      <c r="L14" s="594">
        <v>13075</v>
      </c>
      <c r="M14" s="596">
        <v>13837</v>
      </c>
      <c r="N14" s="596">
        <v>14258</v>
      </c>
      <c r="O14" s="596">
        <v>14929</v>
      </c>
      <c r="P14" s="596">
        <v>15318</v>
      </c>
      <c r="Q14" s="317">
        <v>17769</v>
      </c>
      <c r="R14" s="317">
        <v>15985</v>
      </c>
      <c r="S14" s="596">
        <v>15539</v>
      </c>
      <c r="T14" s="596">
        <v>16834</v>
      </c>
      <c r="U14" s="596">
        <v>17307</v>
      </c>
      <c r="V14" s="596">
        <v>17187</v>
      </c>
      <c r="W14" s="596">
        <v>18474</v>
      </c>
      <c r="X14" s="1075">
        <v>18625</v>
      </c>
      <c r="Y14" s="844">
        <v>18306</v>
      </c>
    </row>
    <row r="15" spans="1:25" s="408" customFormat="1" ht="18" customHeight="1">
      <c r="A15" s="593" t="s">
        <v>214</v>
      </c>
      <c r="B15" s="597">
        <v>104.2</v>
      </c>
      <c r="C15" s="597">
        <v>122.4</v>
      </c>
      <c r="D15" s="597">
        <v>123.1</v>
      </c>
      <c r="E15" s="597">
        <v>125.4</v>
      </c>
      <c r="F15" s="597">
        <v>127.1</v>
      </c>
      <c r="G15" s="597">
        <v>131.7</v>
      </c>
      <c r="H15" s="597">
        <v>141</v>
      </c>
      <c r="I15" s="597">
        <v>150</v>
      </c>
      <c r="J15" s="597">
        <v>153.6</v>
      </c>
      <c r="K15" s="597">
        <v>155.7</v>
      </c>
      <c r="L15" s="597">
        <v>159.84</v>
      </c>
      <c r="M15" s="598">
        <v>171.6</v>
      </c>
      <c r="N15" s="598">
        <v>177.73</v>
      </c>
      <c r="O15" s="598">
        <v>191.9</v>
      </c>
      <c r="P15" s="598">
        <v>204</v>
      </c>
      <c r="Q15" s="318">
        <v>208</v>
      </c>
      <c r="R15" s="318">
        <v>281.47</v>
      </c>
      <c r="S15" s="598">
        <v>376.2</v>
      </c>
      <c r="T15" s="598">
        <v>442.18</v>
      </c>
      <c r="U15" s="598">
        <v>458.5</v>
      </c>
      <c r="V15" s="598">
        <v>527.2</v>
      </c>
      <c r="W15" s="598">
        <v>650.2</v>
      </c>
      <c r="X15" s="1076">
        <v>655.697575</v>
      </c>
      <c r="Y15" s="845">
        <v>804.2</v>
      </c>
    </row>
    <row r="16" spans="1:28" s="408" customFormat="1" ht="18" customHeight="1">
      <c r="A16" s="593" t="s">
        <v>215</v>
      </c>
      <c r="B16" s="599" t="s">
        <v>90</v>
      </c>
      <c r="C16" s="599" t="s">
        <v>90</v>
      </c>
      <c r="D16" s="599" t="s">
        <v>90</v>
      </c>
      <c r="E16" s="599" t="s">
        <v>90</v>
      </c>
      <c r="F16" s="599" t="s">
        <v>90</v>
      </c>
      <c r="G16" s="599" t="s">
        <v>90</v>
      </c>
      <c r="H16" s="599">
        <v>0.56</v>
      </c>
      <c r="I16" s="66">
        <v>0.63</v>
      </c>
      <c r="J16" s="66">
        <v>0.68</v>
      </c>
      <c r="K16" s="66">
        <v>0.66</v>
      </c>
      <c r="L16" s="600">
        <v>0.67</v>
      </c>
      <c r="M16" s="603">
        <v>0.66</v>
      </c>
      <c r="N16" s="603">
        <v>0.67</v>
      </c>
      <c r="O16" s="603">
        <v>0.69</v>
      </c>
      <c r="P16" s="603">
        <v>0.69</v>
      </c>
      <c r="Q16" s="320">
        <v>0.69</v>
      </c>
      <c r="R16" s="320">
        <v>0.69</v>
      </c>
      <c r="S16" s="603">
        <v>0.67</v>
      </c>
      <c r="T16" s="603">
        <v>0.7</v>
      </c>
      <c r="U16" s="603">
        <v>0.72</v>
      </c>
      <c r="V16" s="603">
        <v>0.7</v>
      </c>
      <c r="W16" s="603">
        <v>0.74</v>
      </c>
      <c r="X16" s="1078">
        <v>0.75</v>
      </c>
      <c r="Y16" s="848">
        <v>0.73</v>
      </c>
      <c r="AA16" s="604"/>
      <c r="AB16" s="139"/>
    </row>
    <row r="17" spans="1:25" s="408" customFormat="1" ht="18" customHeight="1">
      <c r="A17" s="591" t="s">
        <v>217</v>
      </c>
      <c r="B17" s="592"/>
      <c r="C17" s="592"/>
      <c r="D17" s="592"/>
      <c r="E17" s="592"/>
      <c r="F17" s="592"/>
      <c r="G17" s="592"/>
      <c r="H17" s="592"/>
      <c r="I17" s="592"/>
      <c r="J17" s="592"/>
      <c r="K17" s="592"/>
      <c r="L17" s="592"/>
      <c r="M17" s="602"/>
      <c r="N17" s="602"/>
      <c r="O17" s="602"/>
      <c r="P17" s="602"/>
      <c r="Q17" s="602"/>
      <c r="R17" s="602"/>
      <c r="S17" s="602"/>
      <c r="T17" s="602"/>
      <c r="U17" s="602"/>
      <c r="V17" s="602"/>
      <c r="W17" s="602"/>
      <c r="X17" s="602"/>
      <c r="Y17" s="847"/>
    </row>
    <row r="18" spans="1:25" s="408" customFormat="1" ht="18" customHeight="1">
      <c r="A18" s="593" t="s">
        <v>693</v>
      </c>
      <c r="B18" s="374">
        <v>4671</v>
      </c>
      <c r="C18" s="374">
        <v>4685</v>
      </c>
      <c r="D18" s="374">
        <v>4711</v>
      </c>
      <c r="E18" s="374">
        <v>4806</v>
      </c>
      <c r="F18" s="374">
        <v>4863</v>
      </c>
      <c r="G18" s="374">
        <v>4861</v>
      </c>
      <c r="H18" s="374">
        <v>4911</v>
      </c>
      <c r="I18" s="594">
        <v>4843</v>
      </c>
      <c r="J18" s="594">
        <v>4724</v>
      </c>
      <c r="K18" s="594">
        <v>4642</v>
      </c>
      <c r="L18" s="594">
        <v>4563</v>
      </c>
      <c r="M18" s="596">
        <v>4324</v>
      </c>
      <c r="N18" s="596">
        <v>4055</v>
      </c>
      <c r="O18" s="596">
        <v>3745</v>
      </c>
      <c r="P18" s="596">
        <v>3107</v>
      </c>
      <c r="Q18" s="317">
        <v>2692</v>
      </c>
      <c r="R18" s="317">
        <v>2350</v>
      </c>
      <c r="S18" s="596">
        <v>2055</v>
      </c>
      <c r="T18" s="596">
        <v>1812</v>
      </c>
      <c r="U18" s="596">
        <v>1635</v>
      </c>
      <c r="V18" s="596">
        <v>1543</v>
      </c>
      <c r="W18" s="596">
        <v>1491</v>
      </c>
      <c r="X18" s="1075">
        <v>1401</v>
      </c>
      <c r="Y18" s="844">
        <v>1270</v>
      </c>
    </row>
    <row r="19" spans="1:25" s="408" customFormat="1" ht="18" customHeight="1">
      <c r="A19" s="593" t="s">
        <v>214</v>
      </c>
      <c r="B19" s="597">
        <v>24.1</v>
      </c>
      <c r="C19" s="597">
        <v>24</v>
      </c>
      <c r="D19" s="597">
        <v>26</v>
      </c>
      <c r="E19" s="597">
        <v>28.1</v>
      </c>
      <c r="F19" s="597">
        <v>29.5</v>
      </c>
      <c r="G19" s="597">
        <v>30.3</v>
      </c>
      <c r="H19" s="597">
        <v>31</v>
      </c>
      <c r="I19" s="597">
        <v>31.2</v>
      </c>
      <c r="J19" s="597">
        <v>30.4</v>
      </c>
      <c r="K19" s="597">
        <v>29.8</v>
      </c>
      <c r="L19" s="597">
        <v>29.32</v>
      </c>
      <c r="M19" s="598">
        <v>28.6</v>
      </c>
      <c r="N19" s="598">
        <v>26.9</v>
      </c>
      <c r="O19" s="598">
        <v>24.9</v>
      </c>
      <c r="P19" s="598">
        <v>21.7</v>
      </c>
      <c r="Q19" s="318">
        <v>18.9</v>
      </c>
      <c r="R19" s="318">
        <v>16.83</v>
      </c>
      <c r="S19" s="598">
        <v>14.7</v>
      </c>
      <c r="T19" s="598">
        <v>13.04</v>
      </c>
      <c r="U19" s="598">
        <v>13</v>
      </c>
      <c r="V19" s="598">
        <v>10.83</v>
      </c>
      <c r="W19" s="598">
        <v>10.3</v>
      </c>
      <c r="X19" s="1076">
        <v>9.8169</v>
      </c>
      <c r="Y19" s="845">
        <v>3.1</v>
      </c>
    </row>
    <row r="20" spans="1:25" s="408" customFormat="1" ht="18" customHeight="1">
      <c r="A20" s="593" t="s">
        <v>215</v>
      </c>
      <c r="B20" s="599" t="s">
        <v>90</v>
      </c>
      <c r="C20" s="599" t="s">
        <v>90</v>
      </c>
      <c r="D20" s="599" t="s">
        <v>90</v>
      </c>
      <c r="E20" s="599" t="s">
        <v>90</v>
      </c>
      <c r="F20" s="599" t="s">
        <v>90</v>
      </c>
      <c r="G20" s="599" t="s">
        <v>90</v>
      </c>
      <c r="H20" s="599">
        <v>0.77</v>
      </c>
      <c r="I20" s="66">
        <v>0.76</v>
      </c>
      <c r="J20" s="66">
        <v>0.75</v>
      </c>
      <c r="K20" s="66">
        <v>0.72</v>
      </c>
      <c r="L20" s="600">
        <v>0.71</v>
      </c>
      <c r="M20" s="603">
        <v>0.67</v>
      </c>
      <c r="N20" s="603">
        <v>0.62</v>
      </c>
      <c r="O20" s="603">
        <v>0.58</v>
      </c>
      <c r="P20" s="603">
        <v>0.48</v>
      </c>
      <c r="Q20" s="320">
        <v>0.41</v>
      </c>
      <c r="R20" s="320">
        <v>0.35</v>
      </c>
      <c r="S20" s="603">
        <v>0.3</v>
      </c>
      <c r="T20" s="603">
        <v>0.26</v>
      </c>
      <c r="U20" s="603">
        <v>0.24</v>
      </c>
      <c r="V20" s="603">
        <v>0.22</v>
      </c>
      <c r="W20" s="603">
        <v>0.21</v>
      </c>
      <c r="X20" s="1078">
        <v>0.2</v>
      </c>
      <c r="Y20" s="848">
        <v>0.18</v>
      </c>
    </row>
    <row r="21" spans="1:25" s="408" customFormat="1" ht="18" customHeight="1">
      <c r="A21" s="591" t="s">
        <v>218</v>
      </c>
      <c r="B21" s="592"/>
      <c r="C21" s="592"/>
      <c r="D21" s="592"/>
      <c r="E21" s="592"/>
      <c r="F21" s="605"/>
      <c r="G21" s="592"/>
      <c r="H21" s="606"/>
      <c r="I21" s="606"/>
      <c r="J21" s="606"/>
      <c r="K21" s="606"/>
      <c r="L21" s="592"/>
      <c r="M21" s="602"/>
      <c r="N21" s="602"/>
      <c r="O21" s="602"/>
      <c r="P21" s="602"/>
      <c r="Q21" s="602"/>
      <c r="R21" s="602"/>
      <c r="S21" s="602"/>
      <c r="T21" s="602"/>
      <c r="U21" s="602"/>
      <c r="V21" s="602"/>
      <c r="W21" s="602"/>
      <c r="X21" s="602"/>
      <c r="Y21" s="847"/>
    </row>
    <row r="22" spans="1:25" s="408" customFormat="1" ht="18" customHeight="1">
      <c r="A22" s="593" t="s">
        <v>693</v>
      </c>
      <c r="B22" s="374">
        <v>282</v>
      </c>
      <c r="C22" s="374">
        <v>347</v>
      </c>
      <c r="D22" s="374">
        <v>356</v>
      </c>
      <c r="E22" s="374">
        <v>266</v>
      </c>
      <c r="F22" s="374">
        <v>382</v>
      </c>
      <c r="G22" s="374">
        <v>352</v>
      </c>
      <c r="H22" s="374">
        <v>268</v>
      </c>
      <c r="I22" s="594">
        <v>285</v>
      </c>
      <c r="J22" s="594">
        <v>263</v>
      </c>
      <c r="K22" s="594">
        <v>259</v>
      </c>
      <c r="L22" s="594">
        <v>285</v>
      </c>
      <c r="M22" s="596">
        <v>199</v>
      </c>
      <c r="N22" s="596">
        <v>293</v>
      </c>
      <c r="O22" s="596">
        <v>184</v>
      </c>
      <c r="P22" s="596">
        <v>17</v>
      </c>
      <c r="Q22" s="321" t="s">
        <v>90</v>
      </c>
      <c r="R22" s="321" t="s">
        <v>90</v>
      </c>
      <c r="S22" s="607" t="s">
        <v>90</v>
      </c>
      <c r="T22" s="607" t="s">
        <v>90</v>
      </c>
      <c r="U22" s="607" t="s">
        <v>90</v>
      </c>
      <c r="V22" s="607" t="s">
        <v>90</v>
      </c>
      <c r="W22" s="607" t="s">
        <v>90</v>
      </c>
      <c r="X22" s="1079" t="s">
        <v>90</v>
      </c>
      <c r="Y22" s="849" t="s">
        <v>90</v>
      </c>
    </row>
    <row r="23" spans="1:25" s="408" customFormat="1" ht="18" customHeight="1">
      <c r="A23" s="593" t="s">
        <v>214</v>
      </c>
      <c r="B23" s="597">
        <v>30.5</v>
      </c>
      <c r="C23" s="597">
        <v>34</v>
      </c>
      <c r="D23" s="597">
        <v>52</v>
      </c>
      <c r="E23" s="597">
        <v>27.5</v>
      </c>
      <c r="F23" s="597">
        <v>31</v>
      </c>
      <c r="G23" s="597">
        <v>42.6</v>
      </c>
      <c r="H23" s="597">
        <v>34.1</v>
      </c>
      <c r="I23" s="597">
        <v>34.5</v>
      </c>
      <c r="J23" s="597">
        <v>35.7</v>
      </c>
      <c r="K23" s="597">
        <v>34.5</v>
      </c>
      <c r="L23" s="597">
        <v>37.37</v>
      </c>
      <c r="M23" s="598">
        <v>37.2</v>
      </c>
      <c r="N23" s="598">
        <v>38</v>
      </c>
      <c r="O23" s="598">
        <v>34.5</v>
      </c>
      <c r="P23" s="598">
        <v>13.3</v>
      </c>
      <c r="Q23" s="321" t="s">
        <v>90</v>
      </c>
      <c r="R23" s="321" t="s">
        <v>90</v>
      </c>
      <c r="S23" s="607" t="s">
        <v>90</v>
      </c>
      <c r="T23" s="607" t="s">
        <v>90</v>
      </c>
      <c r="U23" s="607" t="s">
        <v>90</v>
      </c>
      <c r="V23" s="607" t="s">
        <v>90</v>
      </c>
      <c r="W23" s="607" t="s">
        <v>90</v>
      </c>
      <c r="X23" s="1079" t="s">
        <v>90</v>
      </c>
      <c r="Y23" s="849" t="s">
        <v>90</v>
      </c>
    </row>
    <row r="24" spans="1:25" s="408" customFormat="1" ht="18" customHeight="1">
      <c r="A24" s="591" t="s">
        <v>219</v>
      </c>
      <c r="B24" s="592"/>
      <c r="C24" s="592"/>
      <c r="D24" s="592"/>
      <c r="E24" s="592"/>
      <c r="F24" s="592"/>
      <c r="G24" s="592"/>
      <c r="H24" s="592"/>
      <c r="I24" s="592"/>
      <c r="J24" s="592"/>
      <c r="K24" s="592"/>
      <c r="L24" s="592"/>
      <c r="M24" s="602"/>
      <c r="N24" s="602"/>
      <c r="O24" s="602"/>
      <c r="P24" s="602"/>
      <c r="Q24" s="602"/>
      <c r="R24" s="602"/>
      <c r="S24" s="602"/>
      <c r="T24" s="602"/>
      <c r="U24" s="602"/>
      <c r="V24" s="602"/>
      <c r="W24" s="602"/>
      <c r="X24" s="602"/>
      <c r="Y24" s="847"/>
    </row>
    <row r="25" spans="1:25" s="408" customFormat="1" ht="18" customHeight="1">
      <c r="A25" s="593" t="s">
        <v>693</v>
      </c>
      <c r="B25" s="374">
        <v>53</v>
      </c>
      <c r="C25" s="374">
        <v>76</v>
      </c>
      <c r="D25" s="374">
        <v>87</v>
      </c>
      <c r="E25" s="374">
        <v>71</v>
      </c>
      <c r="F25" s="374">
        <v>107</v>
      </c>
      <c r="G25" s="374">
        <v>41</v>
      </c>
      <c r="H25" s="374">
        <v>50</v>
      </c>
      <c r="I25" s="594">
        <v>31</v>
      </c>
      <c r="J25" s="594">
        <v>46</v>
      </c>
      <c r="K25" s="594">
        <v>36</v>
      </c>
      <c r="L25" s="594">
        <v>40</v>
      </c>
      <c r="M25" s="596">
        <v>31</v>
      </c>
      <c r="N25" s="596">
        <v>20</v>
      </c>
      <c r="O25" s="596">
        <v>27</v>
      </c>
      <c r="P25" s="596">
        <v>5</v>
      </c>
      <c r="Q25" s="321" t="s">
        <v>90</v>
      </c>
      <c r="R25" s="321" t="s">
        <v>90</v>
      </c>
      <c r="S25" s="607" t="s">
        <v>90</v>
      </c>
      <c r="T25" s="607" t="s">
        <v>90</v>
      </c>
      <c r="U25" s="607" t="s">
        <v>90</v>
      </c>
      <c r="V25" s="607" t="s">
        <v>90</v>
      </c>
      <c r="W25" s="607" t="s">
        <v>90</v>
      </c>
      <c r="X25" s="1079" t="s">
        <v>90</v>
      </c>
      <c r="Y25" s="849" t="s">
        <v>90</v>
      </c>
    </row>
    <row r="26" spans="1:25" s="408" customFormat="1" ht="18" customHeight="1">
      <c r="A26" s="593" t="s">
        <v>214</v>
      </c>
      <c r="B26" s="597">
        <v>3.4</v>
      </c>
      <c r="C26" s="597">
        <v>5</v>
      </c>
      <c r="D26" s="597">
        <v>5</v>
      </c>
      <c r="E26" s="597">
        <v>3.5</v>
      </c>
      <c r="F26" s="597">
        <v>6</v>
      </c>
      <c r="G26" s="597">
        <v>3.3</v>
      </c>
      <c r="H26" s="597">
        <v>2.7</v>
      </c>
      <c r="I26" s="597">
        <v>1.9</v>
      </c>
      <c r="J26" s="597">
        <v>2.3</v>
      </c>
      <c r="K26" s="597">
        <v>2.5</v>
      </c>
      <c r="L26" s="597">
        <v>2.31</v>
      </c>
      <c r="M26" s="598">
        <v>2.2</v>
      </c>
      <c r="N26" s="598">
        <v>1.59</v>
      </c>
      <c r="O26" s="598">
        <v>1.59</v>
      </c>
      <c r="P26" s="598">
        <v>0.7</v>
      </c>
      <c r="Q26" s="321" t="s">
        <v>90</v>
      </c>
      <c r="R26" s="321" t="s">
        <v>90</v>
      </c>
      <c r="S26" s="607" t="s">
        <v>90</v>
      </c>
      <c r="T26" s="607" t="s">
        <v>90</v>
      </c>
      <c r="U26" s="607" t="s">
        <v>90</v>
      </c>
      <c r="V26" s="607" t="s">
        <v>90</v>
      </c>
      <c r="W26" s="607" t="s">
        <v>90</v>
      </c>
      <c r="X26" s="1079" t="s">
        <v>90</v>
      </c>
      <c r="Y26" s="849" t="s">
        <v>90</v>
      </c>
    </row>
    <row r="27" spans="1:25" s="408" customFormat="1" ht="18" customHeight="1">
      <c r="A27" s="591" t="s">
        <v>223</v>
      </c>
      <c r="B27" s="592"/>
      <c r="C27" s="592"/>
      <c r="D27" s="592"/>
      <c r="E27" s="592"/>
      <c r="F27" s="592"/>
      <c r="G27" s="592"/>
      <c r="H27" s="592"/>
      <c r="I27" s="592"/>
      <c r="J27" s="592"/>
      <c r="K27" s="592"/>
      <c r="L27" s="592"/>
      <c r="M27" s="602"/>
      <c r="N27" s="602"/>
      <c r="O27" s="602"/>
      <c r="P27" s="602"/>
      <c r="Q27" s="602"/>
      <c r="R27" s="602"/>
      <c r="S27" s="602"/>
      <c r="T27" s="602"/>
      <c r="U27" s="602"/>
      <c r="V27" s="602"/>
      <c r="W27" s="602"/>
      <c r="X27" s="602"/>
      <c r="Y27" s="847"/>
    </row>
    <row r="28" spans="1:25" s="408" customFormat="1" ht="18" customHeight="1">
      <c r="A28" s="593" t="s">
        <v>693</v>
      </c>
      <c r="B28" s="519" t="s">
        <v>90</v>
      </c>
      <c r="C28" s="519" t="s">
        <v>90</v>
      </c>
      <c r="D28" s="519" t="s">
        <v>90</v>
      </c>
      <c r="E28" s="519" t="s">
        <v>90</v>
      </c>
      <c r="F28" s="519" t="s">
        <v>90</v>
      </c>
      <c r="G28" s="519" t="s">
        <v>90</v>
      </c>
      <c r="H28" s="519" t="s">
        <v>90</v>
      </c>
      <c r="I28" s="519" t="s">
        <v>90</v>
      </c>
      <c r="J28" s="519" t="s">
        <v>90</v>
      </c>
      <c r="K28" s="519" t="s">
        <v>90</v>
      </c>
      <c r="L28" s="519" t="s">
        <v>90</v>
      </c>
      <c r="M28" s="519" t="s">
        <v>90</v>
      </c>
      <c r="N28" s="519" t="s">
        <v>90</v>
      </c>
      <c r="O28" s="519" t="s">
        <v>90</v>
      </c>
      <c r="P28" s="596">
        <v>335</v>
      </c>
      <c r="Q28" s="317">
        <v>535</v>
      </c>
      <c r="R28" s="317">
        <v>632</v>
      </c>
      <c r="S28" s="596">
        <v>728</v>
      </c>
      <c r="T28" s="596">
        <v>759</v>
      </c>
      <c r="U28" s="596">
        <v>774</v>
      </c>
      <c r="V28" s="596">
        <v>740</v>
      </c>
      <c r="W28" s="596">
        <v>674</v>
      </c>
      <c r="X28" s="1075">
        <v>622</v>
      </c>
      <c r="Y28" s="844">
        <v>595</v>
      </c>
    </row>
    <row r="29" spans="1:25" s="408" customFormat="1" ht="18" customHeight="1">
      <c r="A29" s="593" t="s">
        <v>214</v>
      </c>
      <c r="B29" s="608" t="s">
        <v>90</v>
      </c>
      <c r="C29" s="608" t="s">
        <v>90</v>
      </c>
      <c r="D29" s="608" t="s">
        <v>90</v>
      </c>
      <c r="E29" s="608" t="s">
        <v>90</v>
      </c>
      <c r="F29" s="608" t="s">
        <v>90</v>
      </c>
      <c r="G29" s="608" t="s">
        <v>90</v>
      </c>
      <c r="H29" s="608" t="s">
        <v>90</v>
      </c>
      <c r="I29" s="608" t="s">
        <v>90</v>
      </c>
      <c r="J29" s="608" t="s">
        <v>90</v>
      </c>
      <c r="K29" s="608" t="s">
        <v>90</v>
      </c>
      <c r="L29" s="608" t="s">
        <v>90</v>
      </c>
      <c r="M29" s="608" t="s">
        <v>90</v>
      </c>
      <c r="N29" s="608" t="s">
        <v>90</v>
      </c>
      <c r="O29" s="608" t="s">
        <v>90</v>
      </c>
      <c r="P29" s="598">
        <v>6.4</v>
      </c>
      <c r="Q29" s="318">
        <v>13.5</v>
      </c>
      <c r="R29" s="318">
        <v>16.37</v>
      </c>
      <c r="S29" s="598">
        <v>18</v>
      </c>
      <c r="T29" s="598">
        <v>13.34</v>
      </c>
      <c r="U29" s="598">
        <v>21.3</v>
      </c>
      <c r="V29" s="598">
        <v>22.81</v>
      </c>
      <c r="W29" s="598">
        <v>20.5</v>
      </c>
      <c r="X29" s="1076">
        <v>18.869865</v>
      </c>
      <c r="Y29" s="845">
        <v>17.8</v>
      </c>
    </row>
    <row r="30" spans="1:25" s="408" customFormat="1" ht="18" customHeight="1">
      <c r="A30" s="591" t="s">
        <v>669</v>
      </c>
      <c r="B30" s="592"/>
      <c r="C30" s="592"/>
      <c r="D30" s="592"/>
      <c r="E30" s="592"/>
      <c r="F30" s="592"/>
      <c r="G30" s="592"/>
      <c r="H30" s="592"/>
      <c r="I30" s="592"/>
      <c r="J30" s="592"/>
      <c r="K30" s="592"/>
      <c r="L30" s="592"/>
      <c r="M30" s="602"/>
      <c r="N30" s="602"/>
      <c r="O30" s="602"/>
      <c r="P30" s="602"/>
      <c r="Q30" s="602"/>
      <c r="R30" s="602"/>
      <c r="S30" s="602"/>
      <c r="T30" s="602"/>
      <c r="U30" s="602"/>
      <c r="V30" s="602"/>
      <c r="W30" s="602"/>
      <c r="X30" s="602"/>
      <c r="Y30" s="847"/>
    </row>
    <row r="31" spans="1:25" s="408" customFormat="1" ht="18" customHeight="1">
      <c r="A31" s="593" t="s">
        <v>693</v>
      </c>
      <c r="B31" s="519" t="s">
        <v>90</v>
      </c>
      <c r="C31" s="519" t="s">
        <v>90</v>
      </c>
      <c r="D31" s="519" t="s">
        <v>90</v>
      </c>
      <c r="E31" s="519" t="s">
        <v>90</v>
      </c>
      <c r="F31" s="519" t="s">
        <v>90</v>
      </c>
      <c r="G31" s="519" t="s">
        <v>90</v>
      </c>
      <c r="H31" s="519" t="s">
        <v>90</v>
      </c>
      <c r="I31" s="519" t="s">
        <v>90</v>
      </c>
      <c r="J31" s="519" t="s">
        <v>90</v>
      </c>
      <c r="K31" s="519" t="s">
        <v>90</v>
      </c>
      <c r="L31" s="519" t="s">
        <v>90</v>
      </c>
      <c r="M31" s="519" t="s">
        <v>90</v>
      </c>
      <c r="N31" s="519" t="s">
        <v>90</v>
      </c>
      <c r="O31" s="519" t="s">
        <v>90</v>
      </c>
      <c r="P31" s="596">
        <v>688</v>
      </c>
      <c r="Q31" s="317">
        <v>1287</v>
      </c>
      <c r="R31" s="317">
        <v>1741</v>
      </c>
      <c r="S31" s="596">
        <v>2073</v>
      </c>
      <c r="T31" s="596">
        <v>2256</v>
      </c>
      <c r="U31" s="596">
        <v>2304</v>
      </c>
      <c r="V31" s="596">
        <v>2203</v>
      </c>
      <c r="W31" s="596">
        <v>2035</v>
      </c>
      <c r="X31" s="1075">
        <v>1952</v>
      </c>
      <c r="Y31" s="844">
        <v>1836</v>
      </c>
    </row>
    <row r="32" spans="1:25" s="408" customFormat="1" ht="18" customHeight="1">
      <c r="A32" s="593" t="s">
        <v>214</v>
      </c>
      <c r="B32" s="608" t="s">
        <v>90</v>
      </c>
      <c r="C32" s="608" t="s">
        <v>90</v>
      </c>
      <c r="D32" s="608" t="s">
        <v>90</v>
      </c>
      <c r="E32" s="608" t="s">
        <v>90</v>
      </c>
      <c r="F32" s="608" t="s">
        <v>90</v>
      </c>
      <c r="G32" s="608" t="s">
        <v>90</v>
      </c>
      <c r="H32" s="608" t="s">
        <v>90</v>
      </c>
      <c r="I32" s="608" t="s">
        <v>90</v>
      </c>
      <c r="J32" s="608" t="s">
        <v>90</v>
      </c>
      <c r="K32" s="608" t="s">
        <v>90</v>
      </c>
      <c r="L32" s="608" t="s">
        <v>90</v>
      </c>
      <c r="M32" s="608" t="s">
        <v>90</v>
      </c>
      <c r="N32" s="608" t="s">
        <v>90</v>
      </c>
      <c r="O32" s="608" t="s">
        <v>90</v>
      </c>
      <c r="P32" s="598">
        <v>59.3</v>
      </c>
      <c r="Q32" s="318">
        <v>144.36</v>
      </c>
      <c r="R32" s="318">
        <v>207.36</v>
      </c>
      <c r="S32" s="598">
        <v>276.88</v>
      </c>
      <c r="T32" s="598">
        <v>299.88</v>
      </c>
      <c r="U32" s="598">
        <v>328.5</v>
      </c>
      <c r="V32" s="598">
        <v>305.8</v>
      </c>
      <c r="W32" s="598">
        <v>292</v>
      </c>
      <c r="X32" s="1076">
        <v>300.9014526679965</v>
      </c>
      <c r="Y32" s="845">
        <v>302.3</v>
      </c>
    </row>
    <row r="33" spans="1:25" s="408" customFormat="1" ht="18" customHeight="1">
      <c r="A33" s="591" t="s">
        <v>546</v>
      </c>
      <c r="B33" s="592"/>
      <c r="C33" s="592"/>
      <c r="D33" s="592"/>
      <c r="E33" s="592"/>
      <c r="F33" s="592"/>
      <c r="G33" s="592"/>
      <c r="H33" s="592"/>
      <c r="I33" s="592"/>
      <c r="J33" s="592"/>
      <c r="K33" s="592"/>
      <c r="L33" s="592"/>
      <c r="M33" s="602"/>
      <c r="N33" s="602"/>
      <c r="O33" s="602"/>
      <c r="P33" s="602"/>
      <c r="Q33" s="602"/>
      <c r="R33" s="602"/>
      <c r="S33" s="602"/>
      <c r="T33" s="602"/>
      <c r="U33" s="602"/>
      <c r="V33" s="602"/>
      <c r="W33" s="602"/>
      <c r="X33" s="602"/>
      <c r="Y33" s="847"/>
    </row>
    <row r="34" spans="1:25" s="408" customFormat="1" ht="18" customHeight="1">
      <c r="A34" s="593" t="s">
        <v>693</v>
      </c>
      <c r="B34" s="519" t="s">
        <v>90</v>
      </c>
      <c r="C34" s="519" t="s">
        <v>90</v>
      </c>
      <c r="D34" s="519" t="s">
        <v>90</v>
      </c>
      <c r="E34" s="519" t="s">
        <v>90</v>
      </c>
      <c r="F34" s="519" t="s">
        <v>90</v>
      </c>
      <c r="G34" s="519" t="s">
        <v>90</v>
      </c>
      <c r="H34" s="519" t="s">
        <v>90</v>
      </c>
      <c r="I34" s="519" t="s">
        <v>90</v>
      </c>
      <c r="J34" s="519" t="s">
        <v>90</v>
      </c>
      <c r="K34" s="519" t="s">
        <v>90</v>
      </c>
      <c r="L34" s="519" t="s">
        <v>90</v>
      </c>
      <c r="M34" s="519" t="s">
        <v>90</v>
      </c>
      <c r="N34" s="519" t="s">
        <v>90</v>
      </c>
      <c r="O34" s="519" t="s">
        <v>90</v>
      </c>
      <c r="P34" s="519" t="s">
        <v>90</v>
      </c>
      <c r="Q34" s="519" t="s">
        <v>90</v>
      </c>
      <c r="R34" s="317">
        <v>34</v>
      </c>
      <c r="S34" s="596">
        <v>24</v>
      </c>
      <c r="T34" s="596">
        <v>23</v>
      </c>
      <c r="U34" s="596">
        <v>21</v>
      </c>
      <c r="V34" s="596">
        <v>15</v>
      </c>
      <c r="W34" s="596">
        <v>21</v>
      </c>
      <c r="X34" s="1075">
        <v>22</v>
      </c>
      <c r="Y34" s="844">
        <v>25</v>
      </c>
    </row>
    <row r="35" spans="1:25" s="408" customFormat="1" ht="18" customHeight="1">
      <c r="A35" s="593" t="s">
        <v>214</v>
      </c>
      <c r="B35" s="608" t="s">
        <v>90</v>
      </c>
      <c r="C35" s="608" t="s">
        <v>90</v>
      </c>
      <c r="D35" s="608" t="s">
        <v>90</v>
      </c>
      <c r="E35" s="608" t="s">
        <v>90</v>
      </c>
      <c r="F35" s="608" t="s">
        <v>90</v>
      </c>
      <c r="G35" s="608" t="s">
        <v>90</v>
      </c>
      <c r="H35" s="608" t="s">
        <v>90</v>
      </c>
      <c r="I35" s="608" t="s">
        <v>90</v>
      </c>
      <c r="J35" s="608" t="s">
        <v>90</v>
      </c>
      <c r="K35" s="608" t="s">
        <v>90</v>
      </c>
      <c r="L35" s="608" t="s">
        <v>90</v>
      </c>
      <c r="M35" s="608" t="s">
        <v>90</v>
      </c>
      <c r="N35" s="608" t="s">
        <v>90</v>
      </c>
      <c r="O35" s="608" t="s">
        <v>90</v>
      </c>
      <c r="P35" s="608" t="s">
        <v>90</v>
      </c>
      <c r="Q35" s="608" t="s">
        <v>90</v>
      </c>
      <c r="R35" s="318">
        <v>0.71</v>
      </c>
      <c r="S35" s="598">
        <v>0.77</v>
      </c>
      <c r="T35" s="598">
        <v>0.65</v>
      </c>
      <c r="U35" s="598">
        <v>0.79</v>
      </c>
      <c r="V35" s="598">
        <v>0.7</v>
      </c>
      <c r="W35" s="598">
        <v>2.3</v>
      </c>
      <c r="X35" s="1076">
        <v>0.63216</v>
      </c>
      <c r="Y35" s="845">
        <v>0.6</v>
      </c>
    </row>
    <row r="36" spans="1:25" s="408" customFormat="1" ht="18" customHeight="1">
      <c r="A36" s="591" t="s">
        <v>668</v>
      </c>
      <c r="B36" s="592"/>
      <c r="C36" s="592"/>
      <c r="D36" s="592"/>
      <c r="E36" s="592"/>
      <c r="F36" s="592"/>
      <c r="G36" s="592"/>
      <c r="H36" s="592"/>
      <c r="I36" s="592"/>
      <c r="J36" s="592"/>
      <c r="K36" s="592"/>
      <c r="L36" s="592"/>
      <c r="M36" s="602"/>
      <c r="N36" s="602"/>
      <c r="O36" s="602"/>
      <c r="P36" s="602"/>
      <c r="Q36" s="602"/>
      <c r="R36" s="602"/>
      <c r="S36" s="602"/>
      <c r="T36" s="602"/>
      <c r="U36" s="602"/>
      <c r="V36" s="602"/>
      <c r="W36" s="602"/>
      <c r="X36" s="602"/>
      <c r="Y36" s="847"/>
    </row>
    <row r="37" spans="1:25" s="408" customFormat="1" ht="18" customHeight="1">
      <c r="A37" s="593" t="s">
        <v>693</v>
      </c>
      <c r="B37" s="519" t="s">
        <v>90</v>
      </c>
      <c r="C37" s="519" t="s">
        <v>90</v>
      </c>
      <c r="D37" s="519" t="s">
        <v>90</v>
      </c>
      <c r="E37" s="519" t="s">
        <v>90</v>
      </c>
      <c r="F37" s="519" t="s">
        <v>90</v>
      </c>
      <c r="G37" s="519" t="s">
        <v>90</v>
      </c>
      <c r="H37" s="519" t="s">
        <v>90</v>
      </c>
      <c r="I37" s="519" t="s">
        <v>90</v>
      </c>
      <c r="J37" s="519" t="s">
        <v>90</v>
      </c>
      <c r="K37" s="519" t="s">
        <v>90</v>
      </c>
      <c r="L37" s="519" t="s">
        <v>90</v>
      </c>
      <c r="M37" s="519" t="s">
        <v>90</v>
      </c>
      <c r="N37" s="519" t="s">
        <v>90</v>
      </c>
      <c r="O37" s="519" t="s">
        <v>90</v>
      </c>
      <c r="P37" s="519" t="s">
        <v>90</v>
      </c>
      <c r="Q37" s="519" t="s">
        <v>90</v>
      </c>
      <c r="R37" s="519" t="s">
        <v>90</v>
      </c>
      <c r="S37" s="519" t="s">
        <v>90</v>
      </c>
      <c r="T37" s="519" t="s">
        <v>90</v>
      </c>
      <c r="U37" s="596">
        <v>82</v>
      </c>
      <c r="V37" s="596">
        <v>348</v>
      </c>
      <c r="W37" s="596">
        <v>307</v>
      </c>
      <c r="X37" s="1075">
        <v>294</v>
      </c>
      <c r="Y37" s="844">
        <v>265</v>
      </c>
    </row>
    <row r="38" spans="1:25" s="408" customFormat="1" ht="18" customHeight="1">
      <c r="A38" s="593" t="s">
        <v>214</v>
      </c>
      <c r="B38" s="608" t="s">
        <v>90</v>
      </c>
      <c r="C38" s="608" t="s">
        <v>90</v>
      </c>
      <c r="D38" s="608" t="s">
        <v>90</v>
      </c>
      <c r="E38" s="608" t="s">
        <v>90</v>
      </c>
      <c r="F38" s="608" t="s">
        <v>90</v>
      </c>
      <c r="G38" s="608" t="s">
        <v>90</v>
      </c>
      <c r="H38" s="608" t="s">
        <v>90</v>
      </c>
      <c r="I38" s="608" t="s">
        <v>90</v>
      </c>
      <c r="J38" s="608" t="s">
        <v>90</v>
      </c>
      <c r="K38" s="608" t="s">
        <v>90</v>
      </c>
      <c r="L38" s="608" t="s">
        <v>90</v>
      </c>
      <c r="M38" s="608" t="s">
        <v>90</v>
      </c>
      <c r="N38" s="608" t="s">
        <v>90</v>
      </c>
      <c r="O38" s="608" t="s">
        <v>90</v>
      </c>
      <c r="P38" s="608" t="s">
        <v>90</v>
      </c>
      <c r="Q38" s="608" t="s">
        <v>90</v>
      </c>
      <c r="R38" s="608" t="s">
        <v>90</v>
      </c>
      <c r="S38" s="608" t="s">
        <v>90</v>
      </c>
      <c r="T38" s="608" t="s">
        <v>90</v>
      </c>
      <c r="U38" s="598">
        <v>1.4</v>
      </c>
      <c r="V38" s="598">
        <v>18.4</v>
      </c>
      <c r="W38" s="598">
        <v>20.9</v>
      </c>
      <c r="X38" s="1076">
        <v>13.81363</v>
      </c>
      <c r="Y38" s="845">
        <v>19.4</v>
      </c>
    </row>
    <row r="39" spans="1:25" s="408" customFormat="1" ht="18" customHeight="1">
      <c r="A39" s="589" t="s">
        <v>515</v>
      </c>
      <c r="B39" s="609"/>
      <c r="C39" s="609"/>
      <c r="D39" s="609"/>
      <c r="E39" s="609"/>
      <c r="F39" s="609"/>
      <c r="G39" s="609"/>
      <c r="H39" s="609"/>
      <c r="I39" s="609"/>
      <c r="J39" s="609"/>
      <c r="K39" s="609"/>
      <c r="L39" s="609"/>
      <c r="M39" s="609"/>
      <c r="N39" s="609"/>
      <c r="O39" s="609"/>
      <c r="P39" s="610"/>
      <c r="Q39" s="322"/>
      <c r="R39" s="322"/>
      <c r="S39" s="610"/>
      <c r="T39" s="610"/>
      <c r="U39" s="610"/>
      <c r="V39" s="610"/>
      <c r="W39" s="610"/>
      <c r="X39" s="1080"/>
      <c r="Y39" s="850"/>
    </row>
    <row r="40" spans="1:25" s="408" customFormat="1" ht="18" customHeight="1">
      <c r="A40" s="591" t="s">
        <v>220</v>
      </c>
      <c r="B40" s="592"/>
      <c r="C40" s="592"/>
      <c r="D40" s="592"/>
      <c r="E40" s="592"/>
      <c r="F40" s="592"/>
      <c r="G40" s="592"/>
      <c r="H40" s="592"/>
      <c r="I40" s="592"/>
      <c r="J40" s="592"/>
      <c r="K40" s="592"/>
      <c r="L40" s="592"/>
      <c r="M40" s="602"/>
      <c r="N40" s="602"/>
      <c r="O40" s="602"/>
      <c r="P40" s="602"/>
      <c r="Q40" s="602"/>
      <c r="R40" s="602"/>
      <c r="S40" s="602"/>
      <c r="T40" s="602"/>
      <c r="U40" s="602"/>
      <c r="V40" s="602"/>
      <c r="W40" s="602"/>
      <c r="X40" s="602"/>
      <c r="Y40" s="847"/>
    </row>
    <row r="41" spans="1:25" s="408" customFormat="1" ht="18" customHeight="1">
      <c r="A41" s="593" t="s">
        <v>693</v>
      </c>
      <c r="B41" s="374">
        <v>15</v>
      </c>
      <c r="C41" s="374">
        <v>15</v>
      </c>
      <c r="D41" s="374">
        <v>18</v>
      </c>
      <c r="E41" s="374">
        <v>15</v>
      </c>
      <c r="F41" s="374">
        <v>14</v>
      </c>
      <c r="G41" s="374">
        <v>17</v>
      </c>
      <c r="H41" s="374">
        <v>17</v>
      </c>
      <c r="I41" s="594">
        <v>16</v>
      </c>
      <c r="J41" s="594">
        <v>16</v>
      </c>
      <c r="K41" s="594">
        <v>17</v>
      </c>
      <c r="L41" s="594">
        <v>17</v>
      </c>
      <c r="M41" s="596">
        <v>17</v>
      </c>
      <c r="N41" s="596">
        <v>16</v>
      </c>
      <c r="O41" s="596">
        <v>16</v>
      </c>
      <c r="P41" s="596">
        <v>17</v>
      </c>
      <c r="Q41" s="317">
        <v>16</v>
      </c>
      <c r="R41" s="317">
        <v>17</v>
      </c>
      <c r="S41" s="596">
        <v>15</v>
      </c>
      <c r="T41" s="596">
        <v>15</v>
      </c>
      <c r="U41" s="596">
        <v>17</v>
      </c>
      <c r="V41" s="596">
        <v>17</v>
      </c>
      <c r="W41" s="596">
        <v>16</v>
      </c>
      <c r="X41" s="1075">
        <v>16</v>
      </c>
      <c r="Y41" s="844">
        <v>17</v>
      </c>
    </row>
    <row r="42" spans="1:25" s="408" customFormat="1" ht="18" customHeight="1">
      <c r="A42" s="591" t="s">
        <v>221</v>
      </c>
      <c r="B42" s="592"/>
      <c r="C42" s="592"/>
      <c r="D42" s="592"/>
      <c r="E42" s="592"/>
      <c r="F42" s="592"/>
      <c r="G42" s="592"/>
      <c r="H42" s="592"/>
      <c r="I42" s="592"/>
      <c r="J42" s="592"/>
      <c r="K42" s="592"/>
      <c r="L42" s="592"/>
      <c r="M42" s="602"/>
      <c r="N42" s="602"/>
      <c r="O42" s="602"/>
      <c r="P42" s="602"/>
      <c r="Q42" s="602"/>
      <c r="R42" s="602"/>
      <c r="S42" s="602"/>
      <c r="T42" s="602"/>
      <c r="U42" s="602"/>
      <c r="V42" s="602"/>
      <c r="W42" s="602"/>
      <c r="X42" s="602"/>
      <c r="Y42" s="847"/>
    </row>
    <row r="43" spans="1:25" s="408" customFormat="1" ht="18" customHeight="1">
      <c r="A43" s="593" t="s">
        <v>516</v>
      </c>
      <c r="B43" s="374">
        <v>14</v>
      </c>
      <c r="C43" s="374">
        <v>14</v>
      </c>
      <c r="D43" s="374">
        <v>12</v>
      </c>
      <c r="E43" s="374">
        <v>12</v>
      </c>
      <c r="F43" s="374">
        <v>13</v>
      </c>
      <c r="G43" s="374">
        <v>15</v>
      </c>
      <c r="H43" s="374">
        <v>14</v>
      </c>
      <c r="I43" s="594">
        <v>14</v>
      </c>
      <c r="J43" s="594">
        <v>15</v>
      </c>
      <c r="K43" s="594">
        <v>13</v>
      </c>
      <c r="L43" s="594">
        <v>14</v>
      </c>
      <c r="M43" s="596">
        <v>8</v>
      </c>
      <c r="N43" s="596">
        <v>10</v>
      </c>
      <c r="O43" s="596">
        <v>12</v>
      </c>
      <c r="P43" s="596">
        <v>11</v>
      </c>
      <c r="Q43" s="317">
        <v>9</v>
      </c>
      <c r="R43" s="317">
        <v>9</v>
      </c>
      <c r="S43" s="596">
        <v>12</v>
      </c>
      <c r="T43" s="596">
        <v>15</v>
      </c>
      <c r="U43" s="596">
        <v>16</v>
      </c>
      <c r="V43" s="596">
        <v>17</v>
      </c>
      <c r="W43" s="596">
        <v>16</v>
      </c>
      <c r="X43" s="1075">
        <v>16</v>
      </c>
      <c r="Y43" s="844">
        <v>15</v>
      </c>
    </row>
    <row r="44" spans="1:25" s="408" customFormat="1" ht="18" customHeight="1">
      <c r="A44" s="591" t="s">
        <v>222</v>
      </c>
      <c r="B44" s="592"/>
      <c r="C44" s="592"/>
      <c r="D44" s="592"/>
      <c r="E44" s="592"/>
      <c r="F44" s="592"/>
      <c r="G44" s="592"/>
      <c r="H44" s="592"/>
      <c r="I44" s="592"/>
      <c r="J44" s="592"/>
      <c r="K44" s="592"/>
      <c r="L44" s="592"/>
      <c r="M44" s="602"/>
      <c r="N44" s="602"/>
      <c r="O44" s="602"/>
      <c r="P44" s="602"/>
      <c r="Q44" s="602"/>
      <c r="R44" s="602"/>
      <c r="S44" s="602"/>
      <c r="T44" s="602"/>
      <c r="U44" s="602"/>
      <c r="V44" s="602"/>
      <c r="W44" s="602"/>
      <c r="X44" s="602"/>
      <c r="Y44" s="847"/>
    </row>
    <row r="45" spans="1:25" s="408" customFormat="1" ht="18" customHeight="1">
      <c r="A45" s="593" t="s">
        <v>693</v>
      </c>
      <c r="B45" s="374">
        <v>132</v>
      </c>
      <c r="C45" s="374">
        <v>134</v>
      </c>
      <c r="D45" s="374">
        <v>137</v>
      </c>
      <c r="E45" s="374">
        <v>134</v>
      </c>
      <c r="F45" s="374">
        <v>135</v>
      </c>
      <c r="G45" s="374">
        <v>145</v>
      </c>
      <c r="H45" s="374">
        <v>141</v>
      </c>
      <c r="I45" s="594">
        <v>139</v>
      </c>
      <c r="J45" s="594">
        <v>143</v>
      </c>
      <c r="K45" s="594">
        <v>143</v>
      </c>
      <c r="L45" s="594">
        <v>140</v>
      </c>
      <c r="M45" s="596">
        <v>145</v>
      </c>
      <c r="N45" s="596">
        <v>140</v>
      </c>
      <c r="O45" s="596">
        <v>137</v>
      </c>
      <c r="P45" s="596">
        <v>128</v>
      </c>
      <c r="Q45" s="317">
        <v>128</v>
      </c>
      <c r="R45" s="317">
        <v>129</v>
      </c>
      <c r="S45" s="596">
        <v>131</v>
      </c>
      <c r="T45" s="596">
        <v>129</v>
      </c>
      <c r="U45" s="596">
        <v>129</v>
      </c>
      <c r="V45" s="596">
        <v>129</v>
      </c>
      <c r="W45" s="596">
        <v>120</v>
      </c>
      <c r="X45" s="1075">
        <v>117</v>
      </c>
      <c r="Y45" s="844">
        <v>117</v>
      </c>
    </row>
    <row r="46" spans="8:9" ht="12.75">
      <c r="H46" s="408"/>
      <c r="I46" s="408"/>
    </row>
    <row r="47" ht="12.75">
      <c r="A47" s="53" t="s">
        <v>224</v>
      </c>
    </row>
    <row r="48" ht="12.75">
      <c r="A48" s="53" t="s">
        <v>225</v>
      </c>
    </row>
    <row r="49" spans="1:14" ht="12.75">
      <c r="A49" s="53" t="s">
        <v>872</v>
      </c>
      <c r="B49" s="1068"/>
      <c r="C49" s="1068"/>
      <c r="D49" s="1068"/>
      <c r="E49" s="1068"/>
      <c r="F49" s="1068"/>
      <c r="G49" s="1068"/>
      <c r="H49" s="1068"/>
      <c r="I49" s="1068"/>
      <c r="J49" s="1068"/>
      <c r="K49" s="1068"/>
      <c r="L49" s="1068"/>
      <c r="M49" s="1068"/>
      <c r="N49" s="1068"/>
    </row>
    <row r="50" ht="12.75">
      <c r="A50" s="53" t="s">
        <v>226</v>
      </c>
    </row>
    <row r="51" ht="12.75">
      <c r="A51" s="53" t="s">
        <v>227</v>
      </c>
    </row>
    <row r="52" ht="12.75">
      <c r="A52" s="611" t="s">
        <v>873</v>
      </c>
    </row>
    <row r="53" ht="12.75">
      <c r="A53" s="611" t="s">
        <v>874</v>
      </c>
    </row>
    <row r="54" spans="1:25" s="614" customFormat="1" ht="12" customHeight="1">
      <c r="A54" s="611" t="s">
        <v>547</v>
      </c>
      <c r="B54" s="612"/>
      <c r="C54" s="612"/>
      <c r="D54" s="612"/>
      <c r="E54" s="612"/>
      <c r="F54" s="612"/>
      <c r="G54" s="612"/>
      <c r="H54" s="612"/>
      <c r="I54" s="612"/>
      <c r="J54" s="612"/>
      <c r="K54" s="613"/>
      <c r="Y54" s="851"/>
    </row>
    <row r="55" ht="12.75">
      <c r="A55" s="611" t="s">
        <v>670</v>
      </c>
    </row>
    <row r="56" ht="12.75">
      <c r="A56" s="615" t="s">
        <v>228</v>
      </c>
    </row>
    <row r="57" ht="12.75">
      <c r="A57" s="611" t="s">
        <v>229</v>
      </c>
    </row>
    <row r="58" ht="12.75">
      <c r="A58" s="611" t="s">
        <v>230</v>
      </c>
    </row>
    <row r="59" spans="1:25" s="614" customFormat="1" ht="12" customHeight="1">
      <c r="A59" s="611" t="s">
        <v>547</v>
      </c>
      <c r="B59" s="612"/>
      <c r="C59" s="612"/>
      <c r="D59" s="612"/>
      <c r="E59" s="612"/>
      <c r="F59" s="612"/>
      <c r="G59" s="612"/>
      <c r="H59" s="612"/>
      <c r="I59" s="612"/>
      <c r="J59" s="612"/>
      <c r="K59" s="613"/>
      <c r="Y59" s="851"/>
    </row>
    <row r="60" ht="12.75">
      <c r="A60" s="58"/>
    </row>
    <row r="61" ht="12.75">
      <c r="A61" s="53" t="s">
        <v>231</v>
      </c>
    </row>
    <row r="62" spans="1:25" s="753" customFormat="1" ht="12.75">
      <c r="A62" s="1118" t="s">
        <v>864</v>
      </c>
      <c r="B62" s="1118"/>
      <c r="C62" s="1118"/>
      <c r="D62" s="1118"/>
      <c r="E62" s="1118"/>
      <c r="F62" s="1118"/>
      <c r="G62" s="1118"/>
      <c r="H62" s="1118"/>
      <c r="I62" s="1118"/>
      <c r="J62" s="1118"/>
      <c r="K62" s="1118"/>
      <c r="L62" s="1118"/>
      <c r="M62" s="1118"/>
      <c r="N62" s="1118"/>
      <c r="O62" s="1118"/>
      <c r="P62" s="1118"/>
      <c r="Q62" s="1118"/>
      <c r="R62" s="1118"/>
      <c r="S62" s="1118"/>
      <c r="T62" s="1118"/>
      <c r="U62" s="1118"/>
      <c r="V62" s="1118"/>
      <c r="W62" s="1118"/>
      <c r="X62" s="1118"/>
      <c r="Y62" s="1118"/>
    </row>
    <row r="63" spans="1:26" s="753" customFormat="1" ht="12.75">
      <c r="A63" s="1118" t="s">
        <v>875</v>
      </c>
      <c r="B63" s="1118"/>
      <c r="C63" s="1118"/>
      <c r="D63" s="1118"/>
      <c r="E63" s="1118"/>
      <c r="F63" s="1118"/>
      <c r="G63" s="1118"/>
      <c r="H63" s="1118"/>
      <c r="I63" s="1118"/>
      <c r="J63" s="1118"/>
      <c r="K63" s="1118"/>
      <c r="L63" s="1118"/>
      <c r="M63" s="1118"/>
      <c r="N63" s="1118"/>
      <c r="O63" s="1118"/>
      <c r="P63" s="1118"/>
      <c r="Q63" s="1118"/>
      <c r="R63" s="1118"/>
      <c r="S63" s="1118"/>
      <c r="T63" s="1118"/>
      <c r="U63" s="1118"/>
      <c r="V63" s="1118"/>
      <c r="W63" s="1118"/>
      <c r="X63" s="1118"/>
      <c r="Y63" s="1118"/>
      <c r="Z63" s="852"/>
    </row>
  </sheetData>
  <sheetProtection/>
  <mergeCells count="6">
    <mergeCell ref="A63:Y63"/>
    <mergeCell ref="A1:Y1"/>
    <mergeCell ref="A3:Y3"/>
    <mergeCell ref="A4:Y4"/>
    <mergeCell ref="A5:Y5"/>
    <mergeCell ref="A62:Y62"/>
  </mergeCells>
  <printOptions horizontalCentered="1"/>
  <pageMargins left="0.7874015748031497" right="0.7874015748031497" top="0.984251968503937" bottom="0.984251968503937" header="0" footer="0"/>
  <pageSetup fitToHeight="1" fitToWidth="1" horizontalDpi="600" verticalDpi="600" orientation="landscape" scale="46" r:id="rId1"/>
</worksheet>
</file>

<file path=xl/worksheets/sheet24.xml><?xml version="1.0" encoding="utf-8"?>
<worksheet xmlns="http://schemas.openxmlformats.org/spreadsheetml/2006/main" xmlns:r="http://schemas.openxmlformats.org/officeDocument/2006/relationships">
  <sheetPr>
    <tabColor theme="9" tint="-0.24997000396251678"/>
    <pageSetUpPr fitToPage="1"/>
  </sheetPr>
  <dimension ref="A1:Z40"/>
  <sheetViews>
    <sheetView zoomScale="85" zoomScaleNormal="85" zoomScalePageLayoutView="0" workbookViewId="0" topLeftCell="A1">
      <selection activeCell="Z9" sqref="Z9"/>
    </sheetView>
  </sheetViews>
  <sheetFormatPr defaultColWidth="10.8515625" defaultRowHeight="12.75"/>
  <cols>
    <col min="1" max="1" width="32.8515625" style="65" customWidth="1"/>
    <col min="2" max="23" width="10.8515625" style="65" customWidth="1"/>
    <col min="24" max="24" width="10.8515625" style="1068" customWidth="1"/>
    <col min="25" max="25" width="10.8515625" style="753" customWidth="1"/>
    <col min="26" max="16384" width="10.8515625" style="65" customWidth="1"/>
  </cols>
  <sheetData>
    <row r="1" spans="1:25" ht="12.75">
      <c r="A1" s="1171" t="s">
        <v>694</v>
      </c>
      <c r="B1" s="1171"/>
      <c r="C1" s="1171"/>
      <c r="D1" s="1171"/>
      <c r="E1" s="1171"/>
      <c r="F1" s="1171"/>
      <c r="G1" s="1171"/>
      <c r="H1" s="1171"/>
      <c r="I1" s="1171"/>
      <c r="J1" s="1171"/>
      <c r="K1" s="1171"/>
      <c r="L1" s="1171"/>
      <c r="M1" s="1171"/>
      <c r="N1" s="1171"/>
      <c r="O1" s="1171"/>
      <c r="P1" s="1171"/>
      <c r="Q1" s="1171"/>
      <c r="R1" s="1171"/>
      <c r="S1" s="1171"/>
      <c r="T1" s="1171"/>
      <c r="U1" s="1171"/>
      <c r="V1" s="1171"/>
      <c r="W1" s="1171"/>
      <c r="X1" s="1171"/>
      <c r="Y1" s="1123"/>
    </row>
    <row r="3" spans="1:25" ht="18" customHeight="1">
      <c r="A3" s="1116" t="s">
        <v>212</v>
      </c>
      <c r="B3" s="1116"/>
      <c r="C3" s="1116"/>
      <c r="D3" s="1116"/>
      <c r="E3" s="1116"/>
      <c r="F3" s="1116"/>
      <c r="G3" s="1116"/>
      <c r="H3" s="1116"/>
      <c r="I3" s="1116"/>
      <c r="J3" s="1116"/>
      <c r="K3" s="1116"/>
      <c r="L3" s="1116"/>
      <c r="M3" s="1116"/>
      <c r="N3" s="1116"/>
      <c r="O3" s="1116"/>
      <c r="P3" s="1116"/>
      <c r="Q3" s="1116"/>
      <c r="R3" s="1116"/>
      <c r="S3" s="1116"/>
      <c r="T3" s="1116"/>
      <c r="U3" s="1116"/>
      <c r="V3" s="1116"/>
      <c r="W3" s="1116"/>
      <c r="X3" s="1116"/>
      <c r="Y3" s="1116"/>
    </row>
    <row r="4" spans="1:25" ht="18" customHeight="1">
      <c r="A4" s="1116" t="s">
        <v>232</v>
      </c>
      <c r="B4" s="1116"/>
      <c r="C4" s="1116"/>
      <c r="D4" s="1116"/>
      <c r="E4" s="1116"/>
      <c r="F4" s="1116"/>
      <c r="G4" s="1116"/>
      <c r="H4" s="1116"/>
      <c r="I4" s="1116"/>
      <c r="J4" s="1116"/>
      <c r="K4" s="1116"/>
      <c r="L4" s="1116"/>
      <c r="M4" s="1116"/>
      <c r="N4" s="1116"/>
      <c r="O4" s="1116"/>
      <c r="P4" s="1116"/>
      <c r="Q4" s="1116"/>
      <c r="R4" s="1116"/>
      <c r="S4" s="1116"/>
      <c r="T4" s="1116"/>
      <c r="U4" s="1116"/>
      <c r="V4" s="1116"/>
      <c r="W4" s="1116"/>
      <c r="X4" s="1116"/>
      <c r="Y4" s="1116"/>
    </row>
    <row r="5" spans="1:25" ht="18" customHeight="1">
      <c r="A5" s="1117" t="s">
        <v>778</v>
      </c>
      <c r="B5" s="1117"/>
      <c r="C5" s="1117"/>
      <c r="D5" s="1117"/>
      <c r="E5" s="1117"/>
      <c r="F5" s="1117"/>
      <c r="G5" s="1117"/>
      <c r="H5" s="1117"/>
      <c r="I5" s="1117"/>
      <c r="J5" s="1117"/>
      <c r="K5" s="1117"/>
      <c r="L5" s="1117"/>
      <c r="M5" s="1117"/>
      <c r="N5" s="1117"/>
      <c r="O5" s="1117"/>
      <c r="P5" s="1117"/>
      <c r="Q5" s="1117"/>
      <c r="R5" s="1117"/>
      <c r="S5" s="1117"/>
      <c r="T5" s="1117"/>
      <c r="U5" s="1117"/>
      <c r="V5" s="1117"/>
      <c r="W5" s="1117"/>
      <c r="X5" s="1117"/>
      <c r="Y5" s="1117"/>
    </row>
    <row r="6" ht="18" customHeight="1"/>
    <row r="7" spans="1:25" ht="18" customHeight="1">
      <c r="A7" s="617"/>
      <c r="B7" s="236">
        <v>2000</v>
      </c>
      <c r="C7" s="236">
        <v>2001</v>
      </c>
      <c r="D7" s="236">
        <v>2002</v>
      </c>
      <c r="E7" s="236">
        <v>2003</v>
      </c>
      <c r="F7" s="236">
        <v>2004</v>
      </c>
      <c r="G7" s="236">
        <v>2005</v>
      </c>
      <c r="H7" s="236">
        <v>2006</v>
      </c>
      <c r="I7" s="236">
        <v>2007</v>
      </c>
      <c r="J7" s="236">
        <v>2008</v>
      </c>
      <c r="K7" s="236">
        <v>2009</v>
      </c>
      <c r="L7" s="236">
        <v>2010</v>
      </c>
      <c r="M7" s="236">
        <v>2011</v>
      </c>
      <c r="N7" s="237">
        <v>2012</v>
      </c>
      <c r="O7" s="236">
        <v>2013</v>
      </c>
      <c r="P7" s="236">
        <v>2014</v>
      </c>
      <c r="Q7" s="236">
        <v>2015</v>
      </c>
      <c r="R7" s="236">
        <v>2016</v>
      </c>
      <c r="S7" s="236">
        <v>2017</v>
      </c>
      <c r="T7" s="236">
        <v>2018</v>
      </c>
      <c r="U7" s="236">
        <v>2019</v>
      </c>
      <c r="V7" s="236">
        <v>2020</v>
      </c>
      <c r="W7" s="236">
        <v>2021</v>
      </c>
      <c r="X7" s="236">
        <v>2022</v>
      </c>
      <c r="Y7" s="853">
        <v>2023</v>
      </c>
    </row>
    <row r="8" spans="1:25" ht="18" customHeight="1">
      <c r="A8" s="355" t="s">
        <v>233</v>
      </c>
      <c r="B8" s="356"/>
      <c r="C8" s="356"/>
      <c r="D8" s="356"/>
      <c r="E8" s="356"/>
      <c r="F8" s="356"/>
      <c r="G8" s="356"/>
      <c r="H8" s="356"/>
      <c r="I8" s="356"/>
      <c r="J8" s="356"/>
      <c r="K8" s="356"/>
      <c r="L8" s="356"/>
      <c r="M8" s="356"/>
      <c r="N8" s="357"/>
      <c r="O8" s="356"/>
      <c r="P8" s="356"/>
      <c r="Q8" s="356"/>
      <c r="R8" s="356"/>
      <c r="S8" s="356"/>
      <c r="T8" s="356"/>
      <c r="U8" s="356"/>
      <c r="V8" s="356"/>
      <c r="W8" s="356"/>
      <c r="X8" s="356"/>
      <c r="Y8" s="854"/>
    </row>
    <row r="9" spans="1:25" ht="18" customHeight="1">
      <c r="A9" s="238" t="s">
        <v>234</v>
      </c>
      <c r="B9" s="239"/>
      <c r="C9" s="239"/>
      <c r="D9" s="239"/>
      <c r="E9" s="239"/>
      <c r="F9" s="239"/>
      <c r="G9" s="239"/>
      <c r="H9" s="239"/>
      <c r="I9" s="239"/>
      <c r="J9" s="239"/>
      <c r="K9" s="239"/>
      <c r="L9" s="239"/>
      <c r="M9" s="239"/>
      <c r="N9" s="240"/>
      <c r="O9" s="239"/>
      <c r="P9" s="239"/>
      <c r="Q9" s="239"/>
      <c r="R9" s="239"/>
      <c r="S9" s="239"/>
      <c r="T9" s="239"/>
      <c r="U9" s="239"/>
      <c r="V9" s="239"/>
      <c r="W9" s="239"/>
      <c r="X9" s="239"/>
      <c r="Y9" s="855"/>
    </row>
    <row r="10" spans="1:25" s="408" customFormat="1" ht="18" customHeight="1">
      <c r="A10" s="241" t="s">
        <v>235</v>
      </c>
      <c r="B10" s="618">
        <v>174</v>
      </c>
      <c r="C10" s="618">
        <v>162</v>
      </c>
      <c r="D10" s="618">
        <v>131</v>
      </c>
      <c r="E10" s="618">
        <v>84</v>
      </c>
      <c r="F10" s="618">
        <v>85</v>
      </c>
      <c r="G10" s="618">
        <v>90</v>
      </c>
      <c r="H10" s="618">
        <v>101</v>
      </c>
      <c r="I10" s="594">
        <v>113</v>
      </c>
      <c r="J10" s="594">
        <v>134</v>
      </c>
      <c r="K10" s="594">
        <v>123</v>
      </c>
      <c r="L10" s="619">
        <v>101</v>
      </c>
      <c r="M10" s="620">
        <v>91</v>
      </c>
      <c r="N10" s="621">
        <v>129</v>
      </c>
      <c r="O10" s="596">
        <v>105</v>
      </c>
      <c r="P10" s="596">
        <v>106</v>
      </c>
      <c r="Q10" s="596">
        <v>143</v>
      </c>
      <c r="R10" s="596">
        <v>132</v>
      </c>
      <c r="S10" s="596">
        <v>116</v>
      </c>
      <c r="T10" s="596">
        <v>137</v>
      </c>
      <c r="U10" s="596">
        <v>140</v>
      </c>
      <c r="V10" s="596">
        <v>110</v>
      </c>
      <c r="W10" s="596">
        <v>180</v>
      </c>
      <c r="X10" s="1075">
        <v>139</v>
      </c>
      <c r="Y10" s="844">
        <v>147</v>
      </c>
    </row>
    <row r="11" spans="1:25" ht="18" customHeight="1">
      <c r="A11" s="241" t="s">
        <v>236</v>
      </c>
      <c r="B11" s="618">
        <v>2287</v>
      </c>
      <c r="C11" s="618">
        <v>3387</v>
      </c>
      <c r="D11" s="618">
        <v>2882</v>
      </c>
      <c r="E11" s="618">
        <v>1982</v>
      </c>
      <c r="F11" s="618">
        <v>1714</v>
      </c>
      <c r="G11" s="618">
        <v>1827</v>
      </c>
      <c r="H11" s="618">
        <v>1835</v>
      </c>
      <c r="I11" s="594">
        <v>2230</v>
      </c>
      <c r="J11" s="594">
        <v>2590</v>
      </c>
      <c r="K11" s="594">
        <v>2535</v>
      </c>
      <c r="L11" s="619">
        <v>1998</v>
      </c>
      <c r="M11" s="620">
        <v>1696</v>
      </c>
      <c r="N11" s="622">
        <v>1543</v>
      </c>
      <c r="O11" s="596">
        <v>1381</v>
      </c>
      <c r="P11" s="596">
        <v>1513</v>
      </c>
      <c r="Q11" s="596">
        <v>2144</v>
      </c>
      <c r="R11" s="596">
        <v>1902</v>
      </c>
      <c r="S11" s="596">
        <v>1594</v>
      </c>
      <c r="T11" s="596">
        <v>1633</v>
      </c>
      <c r="U11" s="596">
        <v>1741</v>
      </c>
      <c r="V11" s="596">
        <v>1386</v>
      </c>
      <c r="W11" s="596">
        <v>2151</v>
      </c>
      <c r="X11" s="1075">
        <v>1978</v>
      </c>
      <c r="Y11" s="844">
        <v>2038</v>
      </c>
    </row>
    <row r="12" spans="1:25" s="408" customFormat="1" ht="18" customHeight="1">
      <c r="A12" s="241" t="s">
        <v>214</v>
      </c>
      <c r="B12" s="244">
        <v>0.4</v>
      </c>
      <c r="C12" s="244">
        <v>1.2</v>
      </c>
      <c r="D12" s="244">
        <v>0.7</v>
      </c>
      <c r="E12" s="244">
        <v>0.4</v>
      </c>
      <c r="F12" s="467">
        <v>0.3</v>
      </c>
      <c r="G12" s="244">
        <v>0.6</v>
      </c>
      <c r="H12" s="468">
        <v>0.9</v>
      </c>
      <c r="I12" s="623">
        <v>1.04</v>
      </c>
      <c r="J12" s="623">
        <v>1.2</v>
      </c>
      <c r="K12" s="623">
        <v>1.6</v>
      </c>
      <c r="L12" s="624">
        <v>1.08</v>
      </c>
      <c r="M12" s="625">
        <v>0.7</v>
      </c>
      <c r="N12" s="626">
        <v>0.900457</v>
      </c>
      <c r="O12" s="627">
        <v>0.67</v>
      </c>
      <c r="P12" s="627">
        <v>0.62</v>
      </c>
      <c r="Q12" s="627">
        <v>1.15</v>
      </c>
      <c r="R12" s="627">
        <v>1.22</v>
      </c>
      <c r="S12" s="627">
        <v>0.9</v>
      </c>
      <c r="T12" s="627">
        <v>1.14</v>
      </c>
      <c r="U12" s="627">
        <v>1.26</v>
      </c>
      <c r="V12" s="627">
        <v>0.924</v>
      </c>
      <c r="W12" s="627">
        <v>1.5</v>
      </c>
      <c r="X12" s="1081">
        <v>1.12</v>
      </c>
      <c r="Y12" s="856">
        <v>1.33</v>
      </c>
    </row>
    <row r="13" spans="1:25" s="408" customFormat="1" ht="18" customHeight="1">
      <c r="A13" s="238" t="s">
        <v>237</v>
      </c>
      <c r="B13" s="242"/>
      <c r="C13" s="242"/>
      <c r="D13" s="242"/>
      <c r="E13" s="242"/>
      <c r="F13" s="242"/>
      <c r="G13" s="242"/>
      <c r="H13" s="242"/>
      <c r="I13" s="628"/>
      <c r="J13" s="628"/>
      <c r="K13" s="628"/>
      <c r="L13" s="629"/>
      <c r="M13" s="630"/>
      <c r="N13" s="630"/>
      <c r="O13" s="631"/>
      <c r="P13" s="631"/>
      <c r="Q13" s="631"/>
      <c r="R13" s="631"/>
      <c r="S13" s="631"/>
      <c r="T13" s="631"/>
      <c r="U13" s="631"/>
      <c r="V13" s="631"/>
      <c r="W13" s="631"/>
      <c r="X13" s="1082"/>
      <c r="Y13" s="857"/>
    </row>
    <row r="14" spans="1:25" s="408" customFormat="1" ht="18" customHeight="1">
      <c r="A14" s="241" t="s">
        <v>158</v>
      </c>
      <c r="B14" s="618" t="s">
        <v>90</v>
      </c>
      <c r="C14" s="618" t="s">
        <v>90</v>
      </c>
      <c r="D14" s="618" t="s">
        <v>90</v>
      </c>
      <c r="E14" s="618">
        <v>32</v>
      </c>
      <c r="F14" s="618">
        <v>33</v>
      </c>
      <c r="G14" s="618">
        <v>46</v>
      </c>
      <c r="H14" s="618">
        <v>31</v>
      </c>
      <c r="I14" s="594">
        <v>13</v>
      </c>
      <c r="J14" s="594">
        <v>9</v>
      </c>
      <c r="K14" s="594">
        <v>9</v>
      </c>
      <c r="L14" s="619">
        <v>14</v>
      </c>
      <c r="M14" s="620">
        <v>13</v>
      </c>
      <c r="N14" s="621">
        <v>10</v>
      </c>
      <c r="O14" s="596">
        <v>6</v>
      </c>
      <c r="P14" s="596">
        <v>3</v>
      </c>
      <c r="Q14" s="596">
        <v>6</v>
      </c>
      <c r="R14" s="596">
        <v>2</v>
      </c>
      <c r="S14" s="596">
        <v>1</v>
      </c>
      <c r="T14" s="596">
        <v>0</v>
      </c>
      <c r="U14" s="596">
        <v>5</v>
      </c>
      <c r="V14" s="596">
        <v>5</v>
      </c>
      <c r="W14" s="596">
        <v>2</v>
      </c>
      <c r="X14" s="1075">
        <v>2</v>
      </c>
      <c r="Y14" s="844">
        <v>1</v>
      </c>
    </row>
    <row r="15" spans="1:25" s="408" customFormat="1" ht="18" customHeight="1">
      <c r="A15" s="241" t="s">
        <v>236</v>
      </c>
      <c r="B15" s="618" t="s">
        <v>90</v>
      </c>
      <c r="C15" s="618" t="s">
        <v>90</v>
      </c>
      <c r="D15" s="618" t="s">
        <v>90</v>
      </c>
      <c r="E15" s="618">
        <v>580</v>
      </c>
      <c r="F15" s="618">
        <v>598</v>
      </c>
      <c r="G15" s="618">
        <v>939</v>
      </c>
      <c r="H15" s="618">
        <v>690</v>
      </c>
      <c r="I15" s="594">
        <v>595</v>
      </c>
      <c r="J15" s="594">
        <v>214</v>
      </c>
      <c r="K15" s="594">
        <v>305</v>
      </c>
      <c r="L15" s="619">
        <v>284</v>
      </c>
      <c r="M15" s="620">
        <v>283</v>
      </c>
      <c r="N15" s="632">
        <v>217</v>
      </c>
      <c r="O15" s="633">
        <v>143</v>
      </c>
      <c r="P15" s="633">
        <v>75</v>
      </c>
      <c r="Q15" s="633">
        <v>156</v>
      </c>
      <c r="R15" s="633">
        <v>36</v>
      </c>
      <c r="S15" s="633">
        <v>23</v>
      </c>
      <c r="T15" s="633">
        <v>0</v>
      </c>
      <c r="U15" s="633">
        <v>125</v>
      </c>
      <c r="V15" s="633">
        <v>141</v>
      </c>
      <c r="W15" s="633">
        <v>54</v>
      </c>
      <c r="X15" s="1083">
        <v>136</v>
      </c>
      <c r="Y15" s="858">
        <v>86</v>
      </c>
    </row>
    <row r="16" spans="1:25" s="408" customFormat="1" ht="18" customHeight="1">
      <c r="A16" s="241" t="s">
        <v>214</v>
      </c>
      <c r="B16" s="634" t="s">
        <v>90</v>
      </c>
      <c r="C16" s="634" t="s">
        <v>90</v>
      </c>
      <c r="D16" s="634" t="s">
        <v>90</v>
      </c>
      <c r="E16" s="244">
        <v>1.2</v>
      </c>
      <c r="F16" s="244">
        <v>0.8</v>
      </c>
      <c r="G16" s="244">
        <v>1.5</v>
      </c>
      <c r="H16" s="244">
        <v>1</v>
      </c>
      <c r="I16" s="635">
        <v>0.7</v>
      </c>
      <c r="J16" s="635">
        <v>0.5</v>
      </c>
      <c r="K16" s="635">
        <v>0.5</v>
      </c>
      <c r="L16" s="636">
        <v>0.4</v>
      </c>
      <c r="M16" s="625">
        <v>0.35</v>
      </c>
      <c r="N16" s="626">
        <v>0.339792</v>
      </c>
      <c r="O16" s="627" t="s">
        <v>238</v>
      </c>
      <c r="P16" s="627">
        <v>0.14</v>
      </c>
      <c r="Q16" s="627">
        <v>0.3</v>
      </c>
      <c r="R16" s="627">
        <v>0.14</v>
      </c>
      <c r="S16" s="627">
        <v>0.46</v>
      </c>
      <c r="T16" s="627">
        <v>0</v>
      </c>
      <c r="U16" s="627">
        <v>0.19</v>
      </c>
      <c r="V16" s="627">
        <v>0.2629</v>
      </c>
      <c r="W16" s="627">
        <v>0.13</v>
      </c>
      <c r="X16" s="1081">
        <v>0.11</v>
      </c>
      <c r="Y16" s="856">
        <v>0.09</v>
      </c>
    </row>
    <row r="17" spans="1:25" s="408" customFormat="1" ht="18" customHeight="1">
      <c r="A17" s="238" t="s">
        <v>239</v>
      </c>
      <c r="B17" s="239"/>
      <c r="C17" s="239"/>
      <c r="D17" s="239"/>
      <c r="E17" s="239"/>
      <c r="F17" s="240"/>
      <c r="G17" s="239"/>
      <c r="H17" s="243"/>
      <c r="I17" s="606"/>
      <c r="J17" s="606"/>
      <c r="K17" s="606"/>
      <c r="L17" s="637"/>
      <c r="M17" s="638"/>
      <c r="N17" s="638"/>
      <c r="O17" s="602"/>
      <c r="P17" s="602"/>
      <c r="Q17" s="602"/>
      <c r="R17" s="602"/>
      <c r="S17" s="602"/>
      <c r="T17" s="602"/>
      <c r="U17" s="602"/>
      <c r="V17" s="602"/>
      <c r="W17" s="602"/>
      <c r="X17" s="602"/>
      <c r="Y17" s="847"/>
    </row>
    <row r="18" spans="1:25" s="408" customFormat="1" ht="18" customHeight="1">
      <c r="A18" s="241" t="s">
        <v>235</v>
      </c>
      <c r="B18" s="618">
        <v>141</v>
      </c>
      <c r="C18" s="618">
        <v>355</v>
      </c>
      <c r="D18" s="618">
        <v>417</v>
      </c>
      <c r="E18" s="618">
        <v>394</v>
      </c>
      <c r="F18" s="618">
        <v>360</v>
      </c>
      <c r="G18" s="618">
        <v>402</v>
      </c>
      <c r="H18" s="618">
        <v>380</v>
      </c>
      <c r="I18" s="639">
        <v>380</v>
      </c>
      <c r="J18" s="639">
        <v>367</v>
      </c>
      <c r="K18" s="639">
        <v>359</v>
      </c>
      <c r="L18" s="640">
        <v>379</v>
      </c>
      <c r="M18" s="620">
        <v>306</v>
      </c>
      <c r="N18" s="622">
        <v>492</v>
      </c>
      <c r="O18" s="596">
        <v>508</v>
      </c>
      <c r="P18" s="596">
        <v>494</v>
      </c>
      <c r="Q18" s="596">
        <v>510</v>
      </c>
      <c r="R18" s="596">
        <v>529</v>
      </c>
      <c r="S18" s="596">
        <v>504</v>
      </c>
      <c r="T18" s="596">
        <v>500</v>
      </c>
      <c r="U18" s="596">
        <v>526</v>
      </c>
      <c r="V18" s="596">
        <v>588</v>
      </c>
      <c r="W18" s="596">
        <v>444</v>
      </c>
      <c r="X18" s="1075">
        <v>569</v>
      </c>
      <c r="Y18" s="844">
        <v>501</v>
      </c>
    </row>
    <row r="19" spans="1:25" s="408" customFormat="1" ht="18" customHeight="1">
      <c r="A19" s="241" t="s">
        <v>236</v>
      </c>
      <c r="B19" s="618">
        <v>1884</v>
      </c>
      <c r="C19" s="618">
        <v>4604</v>
      </c>
      <c r="D19" s="618">
        <v>6785</v>
      </c>
      <c r="E19" s="618">
        <v>6454</v>
      </c>
      <c r="F19" s="618">
        <v>6230</v>
      </c>
      <c r="G19" s="618">
        <v>6379</v>
      </c>
      <c r="H19" s="618">
        <v>6151</v>
      </c>
      <c r="I19" s="639">
        <v>7280</v>
      </c>
      <c r="J19" s="639">
        <v>6832</v>
      </c>
      <c r="K19" s="639">
        <v>6313</v>
      </c>
      <c r="L19" s="640">
        <v>6622</v>
      </c>
      <c r="M19" s="620">
        <v>5916</v>
      </c>
      <c r="N19" s="622">
        <v>6019</v>
      </c>
      <c r="O19" s="596">
        <v>5519</v>
      </c>
      <c r="P19" s="596">
        <v>5438</v>
      </c>
      <c r="Q19" s="596">
        <v>5902</v>
      </c>
      <c r="R19" s="596">
        <v>6502</v>
      </c>
      <c r="S19" s="596">
        <v>8902</v>
      </c>
      <c r="T19" s="596">
        <v>6343</v>
      </c>
      <c r="U19" s="596">
        <v>6583</v>
      </c>
      <c r="V19" s="596">
        <v>8287</v>
      </c>
      <c r="W19" s="596">
        <v>6943</v>
      </c>
      <c r="X19" s="1075">
        <v>8517</v>
      </c>
      <c r="Y19" s="844">
        <v>7669</v>
      </c>
    </row>
    <row r="20" spans="1:25" s="408" customFormat="1" ht="18" customHeight="1">
      <c r="A20" s="241" t="s">
        <v>214</v>
      </c>
      <c r="B20" s="244">
        <v>0.7</v>
      </c>
      <c r="C20" s="244">
        <v>1.4</v>
      </c>
      <c r="D20" s="244">
        <v>1.9</v>
      </c>
      <c r="E20" s="244">
        <v>1.8</v>
      </c>
      <c r="F20" s="244">
        <v>0.7</v>
      </c>
      <c r="G20" s="244">
        <v>2.1</v>
      </c>
      <c r="H20" s="244">
        <v>2.25</v>
      </c>
      <c r="I20" s="635">
        <v>2.37</v>
      </c>
      <c r="J20" s="635">
        <v>2.4</v>
      </c>
      <c r="K20" s="635">
        <v>2.4</v>
      </c>
      <c r="L20" s="641">
        <v>2.4</v>
      </c>
      <c r="M20" s="625">
        <v>2.8</v>
      </c>
      <c r="N20" s="642">
        <v>3.845931</v>
      </c>
      <c r="O20" s="643">
        <v>3.96</v>
      </c>
      <c r="P20" s="643">
        <v>3.85</v>
      </c>
      <c r="Q20" s="643">
        <v>3.94</v>
      </c>
      <c r="R20" s="643">
        <v>4.06</v>
      </c>
      <c r="S20" s="643">
        <v>4.03</v>
      </c>
      <c r="T20" s="643">
        <v>3.98</v>
      </c>
      <c r="U20" s="643">
        <v>4.35</v>
      </c>
      <c r="V20" s="643">
        <v>5.5</v>
      </c>
      <c r="W20" s="643">
        <v>4.6</v>
      </c>
      <c r="X20" s="1084">
        <v>5.52</v>
      </c>
      <c r="Y20" s="859">
        <v>5.18</v>
      </c>
    </row>
    <row r="21" spans="1:25" s="408" customFormat="1" ht="18" customHeight="1">
      <c r="A21" s="238" t="s">
        <v>240</v>
      </c>
      <c r="B21" s="242"/>
      <c r="C21" s="242"/>
      <c r="D21" s="242"/>
      <c r="E21" s="242"/>
      <c r="F21" s="242"/>
      <c r="G21" s="242"/>
      <c r="H21" s="242"/>
      <c r="I21" s="628"/>
      <c r="J21" s="628"/>
      <c r="K21" s="628"/>
      <c r="L21" s="629"/>
      <c r="M21" s="630"/>
      <c r="N21" s="630"/>
      <c r="O21" s="631"/>
      <c r="P21" s="631"/>
      <c r="Q21" s="631"/>
      <c r="R21" s="631"/>
      <c r="S21" s="631"/>
      <c r="T21" s="631"/>
      <c r="U21" s="631"/>
      <c r="V21" s="631"/>
      <c r="W21" s="631"/>
      <c r="X21" s="1082"/>
      <c r="Y21" s="857"/>
    </row>
    <row r="22" spans="1:25" s="408" customFormat="1" ht="18" customHeight="1">
      <c r="A22" s="241" t="s">
        <v>158</v>
      </c>
      <c r="B22" s="618" t="s">
        <v>90</v>
      </c>
      <c r="C22" s="618" t="s">
        <v>90</v>
      </c>
      <c r="D22" s="618" t="s">
        <v>90</v>
      </c>
      <c r="E22" s="618" t="s">
        <v>90</v>
      </c>
      <c r="F22" s="618">
        <v>5</v>
      </c>
      <c r="G22" s="618">
        <v>7</v>
      </c>
      <c r="H22" s="618">
        <v>10</v>
      </c>
      <c r="I22" s="594">
        <v>10</v>
      </c>
      <c r="J22" s="594">
        <v>13</v>
      </c>
      <c r="K22" s="594">
        <v>18</v>
      </c>
      <c r="L22" s="619">
        <v>13</v>
      </c>
      <c r="M22" s="620">
        <v>11</v>
      </c>
      <c r="N22" s="622">
        <v>23</v>
      </c>
      <c r="O22" s="596">
        <v>11</v>
      </c>
      <c r="P22" s="596">
        <v>15</v>
      </c>
      <c r="Q22" s="596">
        <v>13</v>
      </c>
      <c r="R22" s="596">
        <v>18</v>
      </c>
      <c r="S22" s="596">
        <v>19</v>
      </c>
      <c r="T22" s="596">
        <v>25</v>
      </c>
      <c r="U22" s="596">
        <v>18</v>
      </c>
      <c r="V22" s="596">
        <v>18</v>
      </c>
      <c r="W22" s="596">
        <v>15</v>
      </c>
      <c r="X22" s="1075">
        <v>14</v>
      </c>
      <c r="Y22" s="844">
        <v>12</v>
      </c>
    </row>
    <row r="23" spans="1:25" s="408" customFormat="1" ht="18" customHeight="1">
      <c r="A23" s="241" t="s">
        <v>236</v>
      </c>
      <c r="B23" s="618" t="s">
        <v>90</v>
      </c>
      <c r="C23" s="618" t="s">
        <v>90</v>
      </c>
      <c r="D23" s="618" t="s">
        <v>90</v>
      </c>
      <c r="E23" s="618" t="s">
        <v>90</v>
      </c>
      <c r="F23" s="618">
        <v>117</v>
      </c>
      <c r="G23" s="618">
        <v>206</v>
      </c>
      <c r="H23" s="618">
        <v>285</v>
      </c>
      <c r="I23" s="594">
        <v>265</v>
      </c>
      <c r="J23" s="594">
        <v>321</v>
      </c>
      <c r="K23" s="594">
        <v>480</v>
      </c>
      <c r="L23" s="619">
        <v>296</v>
      </c>
      <c r="M23" s="620">
        <v>278</v>
      </c>
      <c r="N23" s="622">
        <v>616</v>
      </c>
      <c r="O23" s="596">
        <v>242</v>
      </c>
      <c r="P23" s="596">
        <v>249</v>
      </c>
      <c r="Q23" s="596">
        <v>296</v>
      </c>
      <c r="R23" s="596">
        <v>346</v>
      </c>
      <c r="S23" s="596">
        <v>415</v>
      </c>
      <c r="T23" s="596">
        <v>531</v>
      </c>
      <c r="U23" s="596">
        <v>390</v>
      </c>
      <c r="V23" s="596">
        <v>404</v>
      </c>
      <c r="W23" s="596">
        <v>446</v>
      </c>
      <c r="X23" s="1075">
        <v>414</v>
      </c>
      <c r="Y23" s="844">
        <v>505</v>
      </c>
    </row>
    <row r="24" spans="1:25" s="408" customFormat="1" ht="18" customHeight="1">
      <c r="A24" s="241" t="s">
        <v>214</v>
      </c>
      <c r="B24" s="634" t="s">
        <v>90</v>
      </c>
      <c r="C24" s="634" t="s">
        <v>90</v>
      </c>
      <c r="D24" s="634" t="s">
        <v>90</v>
      </c>
      <c r="E24" s="634" t="s">
        <v>90</v>
      </c>
      <c r="F24" s="244">
        <v>0.7</v>
      </c>
      <c r="G24" s="244">
        <v>0.27</v>
      </c>
      <c r="H24" s="244">
        <v>0.4</v>
      </c>
      <c r="I24" s="635">
        <v>0.4</v>
      </c>
      <c r="J24" s="635">
        <v>0.7</v>
      </c>
      <c r="K24" s="635">
        <v>1</v>
      </c>
      <c r="L24" s="641">
        <v>0.7</v>
      </c>
      <c r="M24" s="625">
        <v>0.5</v>
      </c>
      <c r="N24" s="642">
        <v>1.09512</v>
      </c>
      <c r="O24" s="643">
        <v>0.48</v>
      </c>
      <c r="P24" s="643">
        <v>0.72</v>
      </c>
      <c r="Q24" s="643">
        <v>0.6</v>
      </c>
      <c r="R24" s="643">
        <v>0.89</v>
      </c>
      <c r="S24" s="643">
        <v>0.94</v>
      </c>
      <c r="T24" s="643">
        <v>1.26</v>
      </c>
      <c r="U24" s="643">
        <v>0.93</v>
      </c>
      <c r="V24" s="643">
        <v>1.119</v>
      </c>
      <c r="W24" s="643">
        <v>0.81</v>
      </c>
      <c r="X24" s="1084">
        <v>0.79</v>
      </c>
      <c r="Y24" s="859">
        <v>0.7</v>
      </c>
    </row>
    <row r="25" spans="1:25" s="408" customFormat="1" ht="18" customHeight="1">
      <c r="A25" s="238" t="s">
        <v>241</v>
      </c>
      <c r="B25" s="243"/>
      <c r="C25" s="243"/>
      <c r="D25" s="243"/>
      <c r="E25" s="245"/>
      <c r="F25" s="245"/>
      <c r="G25" s="245"/>
      <c r="H25" s="245"/>
      <c r="I25" s="245"/>
      <c r="J25" s="245"/>
      <c r="K25" s="245"/>
      <c r="L25" s="245"/>
      <c r="M25" s="245"/>
      <c r="N25" s="245"/>
      <c r="O25" s="239"/>
      <c r="P25" s="239"/>
      <c r="Q25" s="239"/>
      <c r="R25" s="239"/>
      <c r="S25" s="239"/>
      <c r="T25" s="239"/>
      <c r="U25" s="239"/>
      <c r="V25" s="239"/>
      <c r="W25" s="239"/>
      <c r="X25" s="239"/>
      <c r="Y25" s="855"/>
    </row>
    <row r="26" spans="1:25" s="408" customFormat="1" ht="18" customHeight="1">
      <c r="A26" s="241" t="s">
        <v>235</v>
      </c>
      <c r="B26" s="644" t="s">
        <v>90</v>
      </c>
      <c r="C26" s="644" t="s">
        <v>90</v>
      </c>
      <c r="D26" s="644" t="s">
        <v>90</v>
      </c>
      <c r="E26" s="644" t="s">
        <v>90</v>
      </c>
      <c r="F26" s="644" t="s">
        <v>90</v>
      </c>
      <c r="G26" s="644" t="s">
        <v>90</v>
      </c>
      <c r="H26" s="644" t="s">
        <v>90</v>
      </c>
      <c r="I26" s="644" t="s">
        <v>90</v>
      </c>
      <c r="J26" s="644" t="s">
        <v>90</v>
      </c>
      <c r="K26" s="644" t="s">
        <v>90</v>
      </c>
      <c r="L26" s="640">
        <v>11</v>
      </c>
      <c r="M26" s="620">
        <v>70</v>
      </c>
      <c r="N26" s="645" t="s">
        <v>90</v>
      </c>
      <c r="O26" s="646" t="s">
        <v>90</v>
      </c>
      <c r="P26" s="646" t="s">
        <v>90</v>
      </c>
      <c r="Q26" s="647" t="s">
        <v>90</v>
      </c>
      <c r="R26" s="647" t="s">
        <v>90</v>
      </c>
      <c r="S26" s="646" t="s">
        <v>90</v>
      </c>
      <c r="T26" s="646" t="s">
        <v>90</v>
      </c>
      <c r="U26" s="646" t="s">
        <v>90</v>
      </c>
      <c r="V26" s="646" t="s">
        <v>90</v>
      </c>
      <c r="W26" s="646" t="s">
        <v>90</v>
      </c>
      <c r="X26" s="1085" t="s">
        <v>90</v>
      </c>
      <c r="Y26" s="860" t="s">
        <v>90</v>
      </c>
    </row>
    <row r="27" spans="1:25" s="408" customFormat="1" ht="18" customHeight="1">
      <c r="A27" s="241" t="s">
        <v>236</v>
      </c>
      <c r="B27" s="644" t="s">
        <v>90</v>
      </c>
      <c r="C27" s="644" t="s">
        <v>90</v>
      </c>
      <c r="D27" s="644" t="s">
        <v>90</v>
      </c>
      <c r="E27" s="644" t="s">
        <v>90</v>
      </c>
      <c r="F27" s="644" t="s">
        <v>90</v>
      </c>
      <c r="G27" s="644" t="s">
        <v>90</v>
      </c>
      <c r="H27" s="644" t="s">
        <v>90</v>
      </c>
      <c r="I27" s="644" t="s">
        <v>90</v>
      </c>
      <c r="J27" s="644" t="s">
        <v>90</v>
      </c>
      <c r="K27" s="644" t="s">
        <v>90</v>
      </c>
      <c r="L27" s="640">
        <v>232</v>
      </c>
      <c r="M27" s="620">
        <v>1208</v>
      </c>
      <c r="N27" s="645" t="s">
        <v>90</v>
      </c>
      <c r="O27" s="646" t="s">
        <v>90</v>
      </c>
      <c r="P27" s="646" t="s">
        <v>90</v>
      </c>
      <c r="Q27" s="647" t="s">
        <v>90</v>
      </c>
      <c r="R27" s="647" t="s">
        <v>90</v>
      </c>
      <c r="S27" s="646" t="s">
        <v>90</v>
      </c>
      <c r="T27" s="646" t="s">
        <v>90</v>
      </c>
      <c r="U27" s="646" t="s">
        <v>90</v>
      </c>
      <c r="V27" s="646" t="s">
        <v>90</v>
      </c>
      <c r="W27" s="646" t="s">
        <v>90</v>
      </c>
      <c r="X27" s="1085" t="s">
        <v>90</v>
      </c>
      <c r="Y27" s="860" t="s">
        <v>90</v>
      </c>
    </row>
    <row r="28" spans="1:25" s="408" customFormat="1" ht="18" customHeight="1">
      <c r="A28" s="241" t="s">
        <v>214</v>
      </c>
      <c r="B28" s="644" t="s">
        <v>90</v>
      </c>
      <c r="C28" s="644" t="s">
        <v>90</v>
      </c>
      <c r="D28" s="644" t="s">
        <v>90</v>
      </c>
      <c r="E28" s="644" t="s">
        <v>90</v>
      </c>
      <c r="F28" s="644" t="s">
        <v>90</v>
      </c>
      <c r="G28" s="644" t="s">
        <v>90</v>
      </c>
      <c r="H28" s="644" t="s">
        <v>90</v>
      </c>
      <c r="I28" s="644" t="s">
        <v>90</v>
      </c>
      <c r="J28" s="644" t="s">
        <v>90</v>
      </c>
      <c r="K28" s="644" t="s">
        <v>90</v>
      </c>
      <c r="L28" s="648">
        <v>0.15</v>
      </c>
      <c r="M28" s="625">
        <v>0.7</v>
      </c>
      <c r="N28" s="645" t="s">
        <v>90</v>
      </c>
      <c r="O28" s="646" t="s">
        <v>90</v>
      </c>
      <c r="P28" s="646" t="s">
        <v>90</v>
      </c>
      <c r="Q28" s="647" t="s">
        <v>90</v>
      </c>
      <c r="R28" s="647" t="s">
        <v>90</v>
      </c>
      <c r="S28" s="646" t="s">
        <v>90</v>
      </c>
      <c r="T28" s="646" t="s">
        <v>90</v>
      </c>
      <c r="U28" s="646" t="s">
        <v>90</v>
      </c>
      <c r="V28" s="646" t="s">
        <v>90</v>
      </c>
      <c r="W28" s="646" t="s">
        <v>90</v>
      </c>
      <c r="X28" s="1085" t="s">
        <v>90</v>
      </c>
      <c r="Y28" s="860" t="s">
        <v>90</v>
      </c>
    </row>
    <row r="29" spans="1:25" s="408" customFormat="1" ht="18" customHeight="1">
      <c r="A29" s="238" t="s">
        <v>242</v>
      </c>
      <c r="B29" s="243"/>
      <c r="C29" s="243"/>
      <c r="D29" s="243"/>
      <c r="E29" s="245"/>
      <c r="F29" s="245"/>
      <c r="G29" s="245"/>
      <c r="H29" s="245"/>
      <c r="I29" s="245"/>
      <c r="J29" s="245"/>
      <c r="K29" s="245"/>
      <c r="L29" s="245"/>
      <c r="M29" s="245"/>
      <c r="N29" s="245"/>
      <c r="O29" s="239"/>
      <c r="P29" s="239"/>
      <c r="Q29" s="239"/>
      <c r="R29" s="239"/>
      <c r="S29" s="239"/>
      <c r="T29" s="239"/>
      <c r="U29" s="239"/>
      <c r="V29" s="239"/>
      <c r="W29" s="239"/>
      <c r="X29" s="239"/>
      <c r="Y29" s="855"/>
    </row>
    <row r="30" spans="1:25" s="408" customFormat="1" ht="18" customHeight="1">
      <c r="A30" s="241" t="s">
        <v>235</v>
      </c>
      <c r="B30" s="644" t="s">
        <v>90</v>
      </c>
      <c r="C30" s="644" t="s">
        <v>90</v>
      </c>
      <c r="D30" s="644" t="s">
        <v>90</v>
      </c>
      <c r="E30" s="644" t="s">
        <v>90</v>
      </c>
      <c r="F30" s="644" t="s">
        <v>90</v>
      </c>
      <c r="G30" s="644" t="s">
        <v>90</v>
      </c>
      <c r="H30" s="644" t="s">
        <v>90</v>
      </c>
      <c r="I30" s="644" t="s">
        <v>90</v>
      </c>
      <c r="J30" s="644" t="s">
        <v>90</v>
      </c>
      <c r="K30" s="644" t="s">
        <v>90</v>
      </c>
      <c r="L30" s="644" t="s">
        <v>90</v>
      </c>
      <c r="M30" s="620">
        <v>6</v>
      </c>
      <c r="N30" s="645" t="s">
        <v>90</v>
      </c>
      <c r="O30" s="646" t="s">
        <v>90</v>
      </c>
      <c r="P30" s="646" t="s">
        <v>90</v>
      </c>
      <c r="Q30" s="647" t="s">
        <v>90</v>
      </c>
      <c r="R30" s="647" t="s">
        <v>90</v>
      </c>
      <c r="S30" s="646" t="s">
        <v>90</v>
      </c>
      <c r="T30" s="646" t="s">
        <v>90</v>
      </c>
      <c r="U30" s="646" t="s">
        <v>90</v>
      </c>
      <c r="V30" s="646" t="s">
        <v>90</v>
      </c>
      <c r="W30" s="646" t="s">
        <v>90</v>
      </c>
      <c r="X30" s="1085" t="s">
        <v>90</v>
      </c>
      <c r="Y30" s="860" t="s">
        <v>90</v>
      </c>
    </row>
    <row r="31" spans="1:25" s="408" customFormat="1" ht="18" customHeight="1">
      <c r="A31" s="241" t="s">
        <v>236</v>
      </c>
      <c r="B31" s="644" t="s">
        <v>90</v>
      </c>
      <c r="C31" s="644" t="s">
        <v>90</v>
      </c>
      <c r="D31" s="644" t="s">
        <v>90</v>
      </c>
      <c r="E31" s="644" t="s">
        <v>90</v>
      </c>
      <c r="F31" s="644" t="s">
        <v>90</v>
      </c>
      <c r="G31" s="644" t="s">
        <v>90</v>
      </c>
      <c r="H31" s="644" t="s">
        <v>90</v>
      </c>
      <c r="I31" s="644" t="s">
        <v>90</v>
      </c>
      <c r="J31" s="644" t="s">
        <v>90</v>
      </c>
      <c r="K31" s="644" t="s">
        <v>90</v>
      </c>
      <c r="L31" s="644" t="s">
        <v>90</v>
      </c>
      <c r="M31" s="620">
        <v>164</v>
      </c>
      <c r="N31" s="645" t="s">
        <v>90</v>
      </c>
      <c r="O31" s="646" t="s">
        <v>90</v>
      </c>
      <c r="P31" s="646" t="s">
        <v>90</v>
      </c>
      <c r="Q31" s="647" t="s">
        <v>90</v>
      </c>
      <c r="R31" s="647" t="s">
        <v>90</v>
      </c>
      <c r="S31" s="646" t="s">
        <v>90</v>
      </c>
      <c r="T31" s="646" t="s">
        <v>90</v>
      </c>
      <c r="U31" s="646" t="s">
        <v>90</v>
      </c>
      <c r="V31" s="646" t="s">
        <v>90</v>
      </c>
      <c r="W31" s="646" t="s">
        <v>90</v>
      </c>
      <c r="X31" s="1085" t="s">
        <v>90</v>
      </c>
      <c r="Y31" s="860" t="s">
        <v>90</v>
      </c>
    </row>
    <row r="32" spans="1:25" s="408" customFormat="1" ht="18" customHeight="1">
      <c r="A32" s="241" t="s">
        <v>214</v>
      </c>
      <c r="B32" s="644" t="s">
        <v>90</v>
      </c>
      <c r="C32" s="644" t="s">
        <v>90</v>
      </c>
      <c r="D32" s="644" t="s">
        <v>90</v>
      </c>
      <c r="E32" s="644" t="s">
        <v>90</v>
      </c>
      <c r="F32" s="644" t="s">
        <v>90</v>
      </c>
      <c r="G32" s="644" t="s">
        <v>90</v>
      </c>
      <c r="H32" s="644" t="s">
        <v>90</v>
      </c>
      <c r="I32" s="644" t="s">
        <v>90</v>
      </c>
      <c r="J32" s="644" t="s">
        <v>90</v>
      </c>
      <c r="K32" s="644" t="s">
        <v>90</v>
      </c>
      <c r="L32" s="644" t="s">
        <v>90</v>
      </c>
      <c r="M32" s="625">
        <v>0.08</v>
      </c>
      <c r="N32" s="645" t="s">
        <v>90</v>
      </c>
      <c r="O32" s="646" t="s">
        <v>90</v>
      </c>
      <c r="P32" s="646" t="s">
        <v>90</v>
      </c>
      <c r="Q32" s="647" t="s">
        <v>90</v>
      </c>
      <c r="R32" s="647" t="s">
        <v>90</v>
      </c>
      <c r="S32" s="646" t="s">
        <v>90</v>
      </c>
      <c r="T32" s="646" t="s">
        <v>90</v>
      </c>
      <c r="U32" s="646" t="s">
        <v>90</v>
      </c>
      <c r="V32" s="646" t="s">
        <v>90</v>
      </c>
      <c r="W32" s="646" t="s">
        <v>90</v>
      </c>
      <c r="X32" s="1085" t="s">
        <v>90</v>
      </c>
      <c r="Y32" s="860" t="s">
        <v>90</v>
      </c>
    </row>
    <row r="34" ht="12.75">
      <c r="A34" s="53" t="s">
        <v>243</v>
      </c>
    </row>
    <row r="35" spans="1:25" s="614" customFormat="1" ht="15.75">
      <c r="A35" s="53" t="s">
        <v>244</v>
      </c>
      <c r="B35" s="612"/>
      <c r="C35" s="612"/>
      <c r="D35" s="612"/>
      <c r="E35" s="612"/>
      <c r="F35" s="612"/>
      <c r="G35" s="612"/>
      <c r="H35" s="612"/>
      <c r="I35" s="612"/>
      <c r="J35" s="612"/>
      <c r="K35" s="613"/>
      <c r="Y35" s="851"/>
    </row>
    <row r="36" spans="1:25" s="614" customFormat="1" ht="18">
      <c r="A36" s="53" t="s">
        <v>781</v>
      </c>
      <c r="B36" s="612"/>
      <c r="C36" s="612"/>
      <c r="D36" s="612"/>
      <c r="E36" s="612"/>
      <c r="F36" s="612"/>
      <c r="G36" s="612"/>
      <c r="H36" s="612"/>
      <c r="I36" s="612"/>
      <c r="J36" s="612"/>
      <c r="K36" s="613"/>
      <c r="Y36" s="851"/>
    </row>
    <row r="37" spans="1:25" s="614" customFormat="1" ht="12" customHeight="1">
      <c r="A37" s="53"/>
      <c r="B37" s="612"/>
      <c r="C37" s="612"/>
      <c r="D37" s="612"/>
      <c r="E37" s="612"/>
      <c r="F37" s="612"/>
      <c r="G37" s="612"/>
      <c r="H37" s="612"/>
      <c r="I37" s="612"/>
      <c r="J37" s="612"/>
      <c r="K37" s="613"/>
      <c r="Y37" s="851"/>
    </row>
    <row r="38" ht="12.75">
      <c r="A38" s="53" t="s">
        <v>231</v>
      </c>
    </row>
    <row r="39" spans="1:25" ht="12.75">
      <c r="A39" s="1118" t="s">
        <v>864</v>
      </c>
      <c r="B39" s="1118"/>
      <c r="C39" s="1118"/>
      <c r="D39" s="1118"/>
      <c r="E39" s="1118"/>
      <c r="F39" s="1118"/>
      <c r="G39" s="1118"/>
      <c r="H39" s="1118"/>
      <c r="I39" s="1118"/>
      <c r="J39" s="1118"/>
      <c r="K39" s="1118"/>
      <c r="L39" s="1118"/>
      <c r="M39" s="1118"/>
      <c r="N39" s="1118"/>
      <c r="O39" s="1118"/>
      <c r="P39" s="1118"/>
      <c r="Q39" s="1118"/>
      <c r="R39" s="1118"/>
      <c r="S39" s="1118"/>
      <c r="T39" s="1118"/>
      <c r="U39" s="1118"/>
      <c r="V39" s="1118"/>
      <c r="W39" s="1118"/>
      <c r="X39" s="1118"/>
      <c r="Y39" s="1118"/>
    </row>
    <row r="40" spans="1:26" ht="12.75">
      <c r="A40" s="1118" t="s">
        <v>875</v>
      </c>
      <c r="B40" s="1118"/>
      <c r="C40" s="1118"/>
      <c r="D40" s="1118"/>
      <c r="E40" s="1118"/>
      <c r="F40" s="1118"/>
      <c r="G40" s="1118"/>
      <c r="H40" s="1118"/>
      <c r="I40" s="1118"/>
      <c r="J40" s="1118"/>
      <c r="K40" s="1118"/>
      <c r="L40" s="1118"/>
      <c r="M40" s="1118"/>
      <c r="N40" s="1118"/>
      <c r="O40" s="1118"/>
      <c r="P40" s="1118"/>
      <c r="Q40" s="1118"/>
      <c r="R40" s="1118"/>
      <c r="S40" s="1118"/>
      <c r="T40" s="1118"/>
      <c r="U40" s="1118"/>
      <c r="V40" s="1118"/>
      <c r="W40" s="1118"/>
      <c r="X40" s="1118"/>
      <c r="Y40" s="1118"/>
      <c r="Z40" s="616"/>
    </row>
  </sheetData>
  <sheetProtection/>
  <mergeCells count="6">
    <mergeCell ref="A40:Y40"/>
    <mergeCell ref="A1:Y1"/>
    <mergeCell ref="A3:Y3"/>
    <mergeCell ref="A4:Y4"/>
    <mergeCell ref="A5:Y5"/>
    <mergeCell ref="A39:Y39"/>
  </mergeCells>
  <printOptions horizontalCentered="1"/>
  <pageMargins left="0.7874015748031497" right="0.7874015748031497" top="0.984251968503937" bottom="0.984251968503937" header="0" footer="0"/>
  <pageSetup fitToHeight="1" fitToWidth="1" horizontalDpi="600" verticalDpi="600" orientation="landscape" scale="55"/>
</worksheet>
</file>

<file path=xl/worksheets/sheet25.xml><?xml version="1.0" encoding="utf-8"?>
<worksheet xmlns="http://schemas.openxmlformats.org/spreadsheetml/2006/main" xmlns:r="http://schemas.openxmlformats.org/officeDocument/2006/relationships">
  <sheetPr>
    <tabColor theme="9" tint="-0.24997000396251678"/>
    <pageSetUpPr fitToPage="1"/>
  </sheetPr>
  <dimension ref="A1:Y57"/>
  <sheetViews>
    <sheetView zoomScale="85" zoomScaleNormal="85" zoomScalePageLayoutView="0" workbookViewId="0" topLeftCell="A1">
      <pane xSplit="1" ySplit="7" topLeftCell="C8" activePane="bottomRight" state="frozen"/>
      <selection pane="topLeft" activeCell="A1" sqref="A1"/>
      <selection pane="topRight" activeCell="B1" sqref="B1"/>
      <selection pane="bottomLeft" activeCell="A8" sqref="A8"/>
      <selection pane="bottomRight" activeCell="S53" sqref="S53"/>
    </sheetView>
  </sheetViews>
  <sheetFormatPr defaultColWidth="10.8515625" defaultRowHeight="12.75"/>
  <cols>
    <col min="1" max="1" width="45.7109375" style="65" customWidth="1"/>
    <col min="2" max="8" width="10.7109375" style="65" customWidth="1"/>
    <col min="9" max="19" width="10.8515625" style="65" customWidth="1"/>
    <col min="20" max="20" width="10.8515625" style="379" customWidth="1"/>
    <col min="21" max="23" width="10.8515625" style="65" customWidth="1"/>
    <col min="24" max="24" width="10.8515625" style="1068" customWidth="1"/>
    <col min="25" max="25" width="10.8515625" style="753" customWidth="1"/>
    <col min="26" max="16384" width="10.8515625" style="65" customWidth="1"/>
  </cols>
  <sheetData>
    <row r="1" spans="1:25" ht="12.75">
      <c r="A1" s="1171" t="s">
        <v>245</v>
      </c>
      <c r="B1" s="1171"/>
      <c r="C1" s="1171"/>
      <c r="D1" s="1171"/>
      <c r="E1" s="1171"/>
      <c r="F1" s="1171"/>
      <c r="G1" s="1171"/>
      <c r="H1" s="1171"/>
      <c r="I1" s="1171"/>
      <c r="J1" s="1171"/>
      <c r="K1" s="1171"/>
      <c r="L1" s="1171"/>
      <c r="M1" s="1171"/>
      <c r="N1" s="1171"/>
      <c r="O1" s="1171"/>
      <c r="P1" s="1171"/>
      <c r="Q1" s="1171"/>
      <c r="R1" s="1171"/>
      <c r="S1" s="1171"/>
      <c r="T1" s="1171"/>
      <c r="U1" s="1171"/>
      <c r="V1" s="1171"/>
      <c r="W1" s="1171"/>
      <c r="X1" s="1171"/>
      <c r="Y1" s="1182"/>
    </row>
    <row r="3" spans="1:25" s="371" customFormat="1" ht="18" customHeight="1">
      <c r="A3" s="1116" t="s">
        <v>212</v>
      </c>
      <c r="B3" s="1116"/>
      <c r="C3" s="1116"/>
      <c r="D3" s="1116"/>
      <c r="E3" s="1116"/>
      <c r="F3" s="1116"/>
      <c r="G3" s="1116"/>
      <c r="H3" s="1116"/>
      <c r="I3" s="1116"/>
      <c r="J3" s="1116"/>
      <c r="K3" s="1116"/>
      <c r="L3" s="1116"/>
      <c r="M3" s="1116"/>
      <c r="N3" s="1116"/>
      <c r="O3" s="1116"/>
      <c r="P3" s="1116"/>
      <c r="Q3" s="1116"/>
      <c r="R3" s="1116"/>
      <c r="S3" s="1116"/>
      <c r="T3" s="1116"/>
      <c r="U3" s="1116"/>
      <c r="V3" s="1116"/>
      <c r="W3" s="1116"/>
      <c r="X3" s="1116"/>
      <c r="Y3" s="1116"/>
    </row>
    <row r="4" spans="1:25" s="371" customFormat="1" ht="18" customHeight="1">
      <c r="A4" s="1116" t="s">
        <v>246</v>
      </c>
      <c r="B4" s="1116"/>
      <c r="C4" s="1116"/>
      <c r="D4" s="1116"/>
      <c r="E4" s="1116"/>
      <c r="F4" s="1116"/>
      <c r="G4" s="1116"/>
      <c r="H4" s="1116"/>
      <c r="I4" s="1116"/>
      <c r="J4" s="1116"/>
      <c r="K4" s="1116"/>
      <c r="L4" s="1116"/>
      <c r="M4" s="1116"/>
      <c r="N4" s="1116"/>
      <c r="O4" s="1116"/>
      <c r="P4" s="1116"/>
      <c r="Q4" s="1116"/>
      <c r="R4" s="1116"/>
      <c r="S4" s="1116"/>
      <c r="T4" s="1116"/>
      <c r="U4" s="1116"/>
      <c r="V4" s="1116"/>
      <c r="W4" s="1116"/>
      <c r="X4" s="1116"/>
      <c r="Y4" s="1116"/>
    </row>
    <row r="5" spans="1:25" s="371" customFormat="1" ht="18" customHeight="1">
      <c r="A5" s="1117" t="s">
        <v>778</v>
      </c>
      <c r="B5" s="1117"/>
      <c r="C5" s="1117"/>
      <c r="D5" s="1117"/>
      <c r="E5" s="1117"/>
      <c r="F5" s="1117"/>
      <c r="G5" s="1117"/>
      <c r="H5" s="1117"/>
      <c r="I5" s="1117"/>
      <c r="J5" s="1117"/>
      <c r="K5" s="1117"/>
      <c r="L5" s="1117"/>
      <c r="M5" s="1117"/>
      <c r="N5" s="1117"/>
      <c r="O5" s="1117"/>
      <c r="P5" s="1117"/>
      <c r="Q5" s="1117"/>
      <c r="R5" s="1117"/>
      <c r="S5" s="1117"/>
      <c r="T5" s="1117"/>
      <c r="U5" s="1117"/>
      <c r="V5" s="1117"/>
      <c r="W5" s="1117"/>
      <c r="X5" s="1117"/>
      <c r="Y5" s="1117"/>
    </row>
    <row r="6" ht="18" customHeight="1"/>
    <row r="7" spans="1:25" ht="18" customHeight="1">
      <c r="A7" s="649"/>
      <c r="B7" s="305">
        <v>2000</v>
      </c>
      <c r="C7" s="305">
        <v>2001</v>
      </c>
      <c r="D7" s="305">
        <v>2002</v>
      </c>
      <c r="E7" s="305">
        <v>2003</v>
      </c>
      <c r="F7" s="305">
        <v>2004</v>
      </c>
      <c r="G7" s="305">
        <v>2005</v>
      </c>
      <c r="H7" s="305">
        <v>2006</v>
      </c>
      <c r="I7" s="305">
        <v>2007</v>
      </c>
      <c r="J7" s="305">
        <v>2008</v>
      </c>
      <c r="K7" s="305">
        <v>2009</v>
      </c>
      <c r="L7" s="305">
        <v>2010</v>
      </c>
      <c r="M7" s="305">
        <v>2011</v>
      </c>
      <c r="N7" s="305">
        <v>2012</v>
      </c>
      <c r="O7" s="305">
        <v>2013</v>
      </c>
      <c r="P7" s="305">
        <v>2014</v>
      </c>
      <c r="Q7" s="305">
        <v>2015</v>
      </c>
      <c r="R7" s="305">
        <v>2016</v>
      </c>
      <c r="S7" s="305">
        <v>2017</v>
      </c>
      <c r="T7" s="469">
        <v>2018</v>
      </c>
      <c r="U7" s="305">
        <v>2019</v>
      </c>
      <c r="V7" s="305">
        <v>2020</v>
      </c>
      <c r="W7" s="305">
        <v>2021</v>
      </c>
      <c r="X7" s="305">
        <v>2022</v>
      </c>
      <c r="Y7" s="881">
        <v>2023</v>
      </c>
    </row>
    <row r="8" spans="1:25" ht="18" customHeight="1">
      <c r="A8" s="306" t="s">
        <v>247</v>
      </c>
      <c r="B8" s="307"/>
      <c r="C8" s="307"/>
      <c r="D8" s="307"/>
      <c r="E8" s="307"/>
      <c r="F8" s="307"/>
      <c r="G8" s="307"/>
      <c r="H8" s="307"/>
      <c r="I8" s="307"/>
      <c r="J8" s="307"/>
      <c r="K8" s="307"/>
      <c r="L8" s="307"/>
      <c r="M8" s="307"/>
      <c r="N8" s="307"/>
      <c r="O8" s="307"/>
      <c r="P8" s="307"/>
      <c r="Q8" s="307"/>
      <c r="R8" s="307"/>
      <c r="S8" s="307"/>
      <c r="T8" s="470"/>
      <c r="U8" s="307"/>
      <c r="V8" s="307"/>
      <c r="W8" s="307"/>
      <c r="X8" s="307"/>
      <c r="Y8" s="882"/>
    </row>
    <row r="9" spans="1:25" ht="18" customHeight="1">
      <c r="A9" s="650" t="s">
        <v>248</v>
      </c>
      <c r="B9" s="651">
        <f aca="true" t="shared" si="0" ref="B9:R9">SUM(B10:B14)</f>
        <v>447</v>
      </c>
      <c r="C9" s="651">
        <f t="shared" si="0"/>
        <v>588</v>
      </c>
      <c r="D9" s="651">
        <f t="shared" si="0"/>
        <v>538</v>
      </c>
      <c r="E9" s="651">
        <f t="shared" si="0"/>
        <v>517</v>
      </c>
      <c r="F9" s="651">
        <f t="shared" si="0"/>
        <v>597</v>
      </c>
      <c r="G9" s="651">
        <f t="shared" si="0"/>
        <v>668</v>
      </c>
      <c r="H9" s="651">
        <f t="shared" si="0"/>
        <v>634</v>
      </c>
      <c r="I9" s="651">
        <f t="shared" si="0"/>
        <v>524</v>
      </c>
      <c r="J9" s="651">
        <f t="shared" si="0"/>
        <v>462</v>
      </c>
      <c r="K9" s="651">
        <f t="shared" si="0"/>
        <v>364</v>
      </c>
      <c r="L9" s="651">
        <f t="shared" si="0"/>
        <v>364</v>
      </c>
      <c r="M9" s="651">
        <f t="shared" si="0"/>
        <v>343</v>
      </c>
      <c r="N9" s="651">
        <f t="shared" si="0"/>
        <v>329</v>
      </c>
      <c r="O9" s="651">
        <f t="shared" si="0"/>
        <v>295</v>
      </c>
      <c r="P9" s="651">
        <f t="shared" si="0"/>
        <v>233</v>
      </c>
      <c r="Q9" s="651">
        <f t="shared" si="0"/>
        <v>247</v>
      </c>
      <c r="R9" s="651">
        <f t="shared" si="0"/>
        <v>268</v>
      </c>
      <c r="S9" s="651">
        <f>SUM(S10:S14)</f>
        <v>242</v>
      </c>
      <c r="T9" s="471">
        <v>211</v>
      </c>
      <c r="U9" s="651">
        <v>202</v>
      </c>
      <c r="V9" s="651">
        <v>132</v>
      </c>
      <c r="W9" s="651">
        <v>93</v>
      </c>
      <c r="X9" s="1086">
        <v>130</v>
      </c>
      <c r="Y9" s="883">
        <v>209</v>
      </c>
    </row>
    <row r="10" spans="1:25" ht="18" customHeight="1">
      <c r="A10" s="652" t="s">
        <v>249</v>
      </c>
      <c r="B10" s="651">
        <v>33</v>
      </c>
      <c r="C10" s="651">
        <v>25</v>
      </c>
      <c r="D10" s="651">
        <v>20</v>
      </c>
      <c r="E10" s="651">
        <v>17</v>
      </c>
      <c r="F10" s="651">
        <v>14</v>
      </c>
      <c r="G10" s="651">
        <v>12</v>
      </c>
      <c r="H10" s="651">
        <v>6</v>
      </c>
      <c r="I10" s="594">
        <v>0</v>
      </c>
      <c r="J10" s="594">
        <v>2</v>
      </c>
      <c r="K10" s="594">
        <v>2</v>
      </c>
      <c r="L10" s="594">
        <v>4</v>
      </c>
      <c r="M10" s="653">
        <v>5</v>
      </c>
      <c r="N10" s="653">
        <v>3</v>
      </c>
      <c r="O10" s="653">
        <v>2</v>
      </c>
      <c r="P10" s="653">
        <v>0</v>
      </c>
      <c r="Q10" s="653">
        <v>0</v>
      </c>
      <c r="R10" s="653">
        <v>0</v>
      </c>
      <c r="S10" s="653">
        <v>0</v>
      </c>
      <c r="T10" s="654">
        <v>1</v>
      </c>
      <c r="U10" s="653">
        <v>3</v>
      </c>
      <c r="V10" s="653">
        <v>2</v>
      </c>
      <c r="W10" s="653">
        <v>0</v>
      </c>
      <c r="X10" s="1087">
        <v>0</v>
      </c>
      <c r="Y10" s="876">
        <v>0</v>
      </c>
    </row>
    <row r="11" spans="1:25" ht="18" customHeight="1">
      <c r="A11" s="652" t="s">
        <v>84</v>
      </c>
      <c r="B11" s="651">
        <v>209</v>
      </c>
      <c r="C11" s="651">
        <v>313</v>
      </c>
      <c r="D11" s="651">
        <v>293</v>
      </c>
      <c r="E11" s="651">
        <v>263</v>
      </c>
      <c r="F11" s="651">
        <v>260</v>
      </c>
      <c r="G11" s="651">
        <v>231</v>
      </c>
      <c r="H11" s="651">
        <v>165</v>
      </c>
      <c r="I11" s="594">
        <v>140</v>
      </c>
      <c r="J11" s="594">
        <v>113</v>
      </c>
      <c r="K11" s="594">
        <v>90</v>
      </c>
      <c r="L11" s="594">
        <v>83</v>
      </c>
      <c r="M11" s="653">
        <v>72</v>
      </c>
      <c r="N11" s="653">
        <v>57</v>
      </c>
      <c r="O11" s="653">
        <v>42</v>
      </c>
      <c r="P11" s="653">
        <v>30</v>
      </c>
      <c r="Q11" s="653">
        <v>31</v>
      </c>
      <c r="R11" s="653">
        <v>31</v>
      </c>
      <c r="S11" s="653">
        <v>27</v>
      </c>
      <c r="T11" s="654">
        <v>27</v>
      </c>
      <c r="U11" s="653">
        <v>26</v>
      </c>
      <c r="V11" s="653">
        <v>20</v>
      </c>
      <c r="W11" s="653">
        <v>18</v>
      </c>
      <c r="X11" s="1087">
        <v>9</v>
      </c>
      <c r="Y11" s="876">
        <v>11</v>
      </c>
    </row>
    <row r="12" spans="1:25" ht="18" customHeight="1">
      <c r="A12" s="652" t="s">
        <v>83</v>
      </c>
      <c r="B12" s="651">
        <v>18</v>
      </c>
      <c r="C12" s="651">
        <v>30</v>
      </c>
      <c r="D12" s="651">
        <v>30</v>
      </c>
      <c r="E12" s="651">
        <v>38</v>
      </c>
      <c r="F12" s="651">
        <v>122</v>
      </c>
      <c r="G12" s="651">
        <v>228</v>
      </c>
      <c r="H12" s="651">
        <v>251</v>
      </c>
      <c r="I12" s="594">
        <v>167</v>
      </c>
      <c r="J12" s="594">
        <v>111</v>
      </c>
      <c r="K12" s="594">
        <v>87</v>
      </c>
      <c r="L12" s="594">
        <v>76</v>
      </c>
      <c r="M12" s="653">
        <v>73</v>
      </c>
      <c r="N12" s="653">
        <v>61</v>
      </c>
      <c r="O12" s="653">
        <v>46</v>
      </c>
      <c r="P12" s="653">
        <v>38</v>
      </c>
      <c r="Q12" s="653">
        <v>36</v>
      </c>
      <c r="R12" s="653">
        <v>40</v>
      </c>
      <c r="S12" s="653">
        <v>32</v>
      </c>
      <c r="T12" s="654">
        <v>23</v>
      </c>
      <c r="U12" s="653">
        <v>14</v>
      </c>
      <c r="V12" s="653">
        <v>14</v>
      </c>
      <c r="W12" s="653">
        <v>11</v>
      </c>
      <c r="X12" s="1087">
        <v>4</v>
      </c>
      <c r="Y12" s="876">
        <v>5</v>
      </c>
    </row>
    <row r="13" spans="1:25" ht="18" customHeight="1">
      <c r="A13" s="652" t="s">
        <v>250</v>
      </c>
      <c r="B13" s="651">
        <v>145</v>
      </c>
      <c r="C13" s="651">
        <v>185</v>
      </c>
      <c r="D13" s="651">
        <v>176</v>
      </c>
      <c r="E13" s="651">
        <v>172</v>
      </c>
      <c r="F13" s="651">
        <v>173</v>
      </c>
      <c r="G13" s="651">
        <v>175</v>
      </c>
      <c r="H13" s="651">
        <v>189</v>
      </c>
      <c r="I13" s="594">
        <v>195</v>
      </c>
      <c r="J13" s="594">
        <v>214</v>
      </c>
      <c r="K13" s="594">
        <v>171</v>
      </c>
      <c r="L13" s="594">
        <v>181</v>
      </c>
      <c r="M13" s="653">
        <v>182</v>
      </c>
      <c r="N13" s="653">
        <v>198</v>
      </c>
      <c r="O13" s="653">
        <v>182</v>
      </c>
      <c r="P13" s="653">
        <v>154</v>
      </c>
      <c r="Q13" s="653">
        <v>155</v>
      </c>
      <c r="R13" s="653">
        <v>175</v>
      </c>
      <c r="S13" s="653">
        <v>164</v>
      </c>
      <c r="T13" s="654">
        <v>147</v>
      </c>
      <c r="U13" s="653">
        <v>147</v>
      </c>
      <c r="V13" s="653">
        <v>85</v>
      </c>
      <c r="W13" s="653">
        <v>58</v>
      </c>
      <c r="X13" s="1087">
        <v>112</v>
      </c>
      <c r="Y13" s="876">
        <v>183</v>
      </c>
    </row>
    <row r="14" spans="1:25" ht="18" customHeight="1">
      <c r="A14" s="652" t="s">
        <v>251</v>
      </c>
      <c r="B14" s="651">
        <v>42</v>
      </c>
      <c r="C14" s="651">
        <v>35</v>
      </c>
      <c r="D14" s="651">
        <v>19</v>
      </c>
      <c r="E14" s="651">
        <v>27</v>
      </c>
      <c r="F14" s="651">
        <v>28</v>
      </c>
      <c r="G14" s="651">
        <v>22</v>
      </c>
      <c r="H14" s="651">
        <v>23</v>
      </c>
      <c r="I14" s="594">
        <v>22</v>
      </c>
      <c r="J14" s="594">
        <v>22</v>
      </c>
      <c r="K14" s="594">
        <v>14</v>
      </c>
      <c r="L14" s="594">
        <v>20</v>
      </c>
      <c r="M14" s="653">
        <v>11</v>
      </c>
      <c r="N14" s="653">
        <v>10</v>
      </c>
      <c r="O14" s="653">
        <v>23</v>
      </c>
      <c r="P14" s="653">
        <v>11</v>
      </c>
      <c r="Q14" s="653">
        <v>25</v>
      </c>
      <c r="R14" s="653">
        <v>22</v>
      </c>
      <c r="S14" s="653">
        <v>19</v>
      </c>
      <c r="T14" s="654">
        <v>13</v>
      </c>
      <c r="U14" s="653">
        <v>12</v>
      </c>
      <c r="V14" s="653">
        <v>11</v>
      </c>
      <c r="W14" s="653">
        <v>6</v>
      </c>
      <c r="X14" s="1087">
        <v>5</v>
      </c>
      <c r="Y14" s="876">
        <v>10</v>
      </c>
    </row>
    <row r="15" spans="1:25" ht="18" customHeight="1">
      <c r="A15" s="655" t="s">
        <v>252</v>
      </c>
      <c r="B15" s="651">
        <v>77</v>
      </c>
      <c r="C15" s="651">
        <v>169</v>
      </c>
      <c r="D15" s="651">
        <v>186</v>
      </c>
      <c r="E15" s="651">
        <v>207</v>
      </c>
      <c r="F15" s="651">
        <v>299</v>
      </c>
      <c r="G15" s="651">
        <v>389</v>
      </c>
      <c r="H15" s="651">
        <v>395</v>
      </c>
      <c r="I15" s="594">
        <v>302</v>
      </c>
      <c r="J15" s="594">
        <v>242</v>
      </c>
      <c r="K15" s="594">
        <v>186</v>
      </c>
      <c r="L15" s="594">
        <v>175</v>
      </c>
      <c r="M15" s="653">
        <v>156</v>
      </c>
      <c r="N15" s="653">
        <v>126</v>
      </c>
      <c r="O15" s="653">
        <v>95</v>
      </c>
      <c r="P15" s="653">
        <v>84</v>
      </c>
      <c r="Q15" s="653">
        <v>79</v>
      </c>
      <c r="R15" s="653">
        <v>79</v>
      </c>
      <c r="S15" s="653">
        <v>74</v>
      </c>
      <c r="T15" s="654">
        <v>64</v>
      </c>
      <c r="U15" s="653">
        <v>56</v>
      </c>
      <c r="V15" s="653">
        <v>42</v>
      </c>
      <c r="W15" s="653">
        <v>35</v>
      </c>
      <c r="X15" s="1087">
        <v>20</v>
      </c>
      <c r="Y15" s="876">
        <v>35</v>
      </c>
    </row>
    <row r="16" spans="1:25" s="408" customFormat="1" ht="18" customHeight="1">
      <c r="A16" s="655" t="s">
        <v>253</v>
      </c>
      <c r="B16" s="651">
        <v>370</v>
      </c>
      <c r="C16" s="651">
        <v>419</v>
      </c>
      <c r="D16" s="651">
        <v>352</v>
      </c>
      <c r="E16" s="651">
        <v>310</v>
      </c>
      <c r="F16" s="651">
        <v>298</v>
      </c>
      <c r="G16" s="651">
        <v>279</v>
      </c>
      <c r="H16" s="651">
        <v>239</v>
      </c>
      <c r="I16" s="594">
        <v>222</v>
      </c>
      <c r="J16" s="594">
        <v>220</v>
      </c>
      <c r="K16" s="594">
        <v>178</v>
      </c>
      <c r="L16" s="594">
        <v>189</v>
      </c>
      <c r="M16" s="596">
        <v>187</v>
      </c>
      <c r="N16" s="596">
        <v>203</v>
      </c>
      <c r="O16" s="596">
        <v>200</v>
      </c>
      <c r="P16" s="596">
        <v>149</v>
      </c>
      <c r="Q16" s="596">
        <v>168</v>
      </c>
      <c r="R16" s="596">
        <v>189</v>
      </c>
      <c r="S16" s="596">
        <v>168</v>
      </c>
      <c r="T16" s="656">
        <v>147</v>
      </c>
      <c r="U16" s="596">
        <v>146</v>
      </c>
      <c r="V16" s="596">
        <v>90</v>
      </c>
      <c r="W16" s="596">
        <v>58</v>
      </c>
      <c r="X16" s="1075">
        <v>110</v>
      </c>
      <c r="Y16" s="844">
        <v>174</v>
      </c>
    </row>
    <row r="17" spans="1:25" s="408" customFormat="1" ht="18" customHeight="1">
      <c r="A17" s="650" t="s">
        <v>214</v>
      </c>
      <c r="B17" s="651">
        <v>27.8</v>
      </c>
      <c r="C17" s="651">
        <v>25.4</v>
      </c>
      <c r="D17" s="651">
        <v>28.4</v>
      </c>
      <c r="E17" s="651">
        <v>25.5</v>
      </c>
      <c r="F17" s="651">
        <v>28.4</v>
      </c>
      <c r="G17" s="651">
        <v>23.5</v>
      </c>
      <c r="H17" s="651">
        <v>22.7</v>
      </c>
      <c r="I17" s="623">
        <v>23.45</v>
      </c>
      <c r="J17" s="657">
        <v>18.8</v>
      </c>
      <c r="K17" s="657">
        <v>17.1</v>
      </c>
      <c r="L17" s="657">
        <v>19.5</v>
      </c>
      <c r="M17" s="598">
        <v>18.5</v>
      </c>
      <c r="N17" s="658">
        <v>22.8</v>
      </c>
      <c r="O17" s="658">
        <v>20.7</v>
      </c>
      <c r="P17" s="658">
        <v>19.3</v>
      </c>
      <c r="Q17" s="659">
        <v>25.7</v>
      </c>
      <c r="R17" s="659">
        <v>31.6</v>
      </c>
      <c r="S17" s="658">
        <v>40.3</v>
      </c>
      <c r="T17" s="660">
        <v>27.72</v>
      </c>
      <c r="U17" s="658">
        <v>25.7</v>
      </c>
      <c r="V17" s="658">
        <v>25.7</v>
      </c>
      <c r="W17" s="658">
        <v>10.4</v>
      </c>
      <c r="X17" s="1088">
        <v>21.56</v>
      </c>
      <c r="Y17" s="884">
        <v>29.1</v>
      </c>
    </row>
    <row r="18" spans="1:25" s="408" customFormat="1" ht="18" customHeight="1">
      <c r="A18" s="308" t="s">
        <v>254</v>
      </c>
      <c r="B18" s="661"/>
      <c r="C18" s="661"/>
      <c r="D18" s="661"/>
      <c r="E18" s="661"/>
      <c r="F18" s="661"/>
      <c r="G18" s="661"/>
      <c r="H18" s="661"/>
      <c r="I18" s="628"/>
      <c r="J18" s="628"/>
      <c r="K18" s="628"/>
      <c r="L18" s="628"/>
      <c r="M18" s="631"/>
      <c r="N18" s="631"/>
      <c r="O18" s="631"/>
      <c r="P18" s="631"/>
      <c r="Q18" s="631"/>
      <c r="R18" s="631"/>
      <c r="S18" s="631"/>
      <c r="T18" s="662"/>
      <c r="U18" s="631"/>
      <c r="V18" s="631"/>
      <c r="W18" s="631"/>
      <c r="X18" s="1082"/>
      <c r="Y18" s="857"/>
    </row>
    <row r="19" spans="1:25" s="408" customFormat="1" ht="18" customHeight="1">
      <c r="A19" s="650" t="s">
        <v>255</v>
      </c>
      <c r="B19" s="651" t="s">
        <v>90</v>
      </c>
      <c r="C19" s="651" t="s">
        <v>90</v>
      </c>
      <c r="D19" s="651" t="s">
        <v>90</v>
      </c>
      <c r="E19" s="651" t="s">
        <v>90</v>
      </c>
      <c r="F19" s="651">
        <v>9</v>
      </c>
      <c r="G19" s="651">
        <v>26</v>
      </c>
      <c r="H19" s="651">
        <v>48</v>
      </c>
      <c r="I19" s="594">
        <v>55</v>
      </c>
      <c r="J19" s="594">
        <v>55</v>
      </c>
      <c r="K19" s="594">
        <v>57</v>
      </c>
      <c r="L19" s="594">
        <v>57</v>
      </c>
      <c r="M19" s="596">
        <v>71</v>
      </c>
      <c r="N19" s="596">
        <v>84</v>
      </c>
      <c r="O19" s="596">
        <v>115</v>
      </c>
      <c r="P19" s="596">
        <v>140</v>
      </c>
      <c r="Q19" s="596">
        <v>139</v>
      </c>
      <c r="R19" s="596">
        <v>142</v>
      </c>
      <c r="S19" s="596">
        <v>168</v>
      </c>
      <c r="T19" s="663">
        <v>212</v>
      </c>
      <c r="U19" s="664">
        <v>230</v>
      </c>
      <c r="V19" s="664">
        <v>252</v>
      </c>
      <c r="W19" s="664">
        <v>256</v>
      </c>
      <c r="X19" s="1089">
        <v>262</v>
      </c>
      <c r="Y19" s="885">
        <v>254</v>
      </c>
    </row>
    <row r="20" spans="1:25" s="408" customFormat="1" ht="18" customHeight="1">
      <c r="A20" s="650" t="s">
        <v>256</v>
      </c>
      <c r="B20" s="665" t="s">
        <v>90</v>
      </c>
      <c r="C20" s="665" t="s">
        <v>90</v>
      </c>
      <c r="D20" s="665" t="s">
        <v>90</v>
      </c>
      <c r="E20" s="666" t="s">
        <v>90</v>
      </c>
      <c r="F20" s="667">
        <v>1.1</v>
      </c>
      <c r="G20" s="668">
        <v>5.4</v>
      </c>
      <c r="H20" s="668">
        <v>9.3</v>
      </c>
      <c r="I20" s="597">
        <v>8.4</v>
      </c>
      <c r="J20" s="597">
        <v>9.3</v>
      </c>
      <c r="K20" s="597">
        <v>10.5</v>
      </c>
      <c r="L20" s="597">
        <v>11.7</v>
      </c>
      <c r="M20" s="598">
        <v>14.1</v>
      </c>
      <c r="N20" s="598">
        <v>19.1</v>
      </c>
      <c r="O20" s="598">
        <v>29.8</v>
      </c>
      <c r="P20" s="598">
        <v>34.7</v>
      </c>
      <c r="Q20" s="598">
        <v>30.5</v>
      </c>
      <c r="R20" s="659">
        <v>34.7</v>
      </c>
      <c r="S20" s="658">
        <v>47</v>
      </c>
      <c r="T20" s="669">
        <v>48.8</v>
      </c>
      <c r="U20" s="670">
        <v>64.4</v>
      </c>
      <c r="V20" s="670">
        <v>67.2</v>
      </c>
      <c r="W20" s="670">
        <v>69.6</v>
      </c>
      <c r="X20" s="1090">
        <v>61.9</v>
      </c>
      <c r="Y20" s="886">
        <v>69.3</v>
      </c>
    </row>
    <row r="21" spans="1:25" s="408" customFormat="1" ht="18" customHeight="1">
      <c r="A21" s="308" t="s">
        <v>257</v>
      </c>
      <c r="B21" s="661"/>
      <c r="C21" s="661"/>
      <c r="D21" s="661"/>
      <c r="E21" s="661"/>
      <c r="F21" s="661"/>
      <c r="G21" s="661"/>
      <c r="H21" s="661"/>
      <c r="I21" s="628"/>
      <c r="J21" s="628"/>
      <c r="K21" s="628"/>
      <c r="L21" s="628"/>
      <c r="M21" s="631"/>
      <c r="N21" s="631"/>
      <c r="O21" s="631"/>
      <c r="P21" s="631"/>
      <c r="Q21" s="631"/>
      <c r="R21" s="631"/>
      <c r="S21" s="631"/>
      <c r="T21" s="662"/>
      <c r="U21" s="631"/>
      <c r="V21" s="631"/>
      <c r="W21" s="631"/>
      <c r="X21" s="1082"/>
      <c r="Y21" s="857"/>
    </row>
    <row r="22" spans="1:25" s="408" customFormat="1" ht="18" customHeight="1">
      <c r="A22" s="650" t="s">
        <v>258</v>
      </c>
      <c r="B22" s="651" t="s">
        <v>90</v>
      </c>
      <c r="C22" s="651" t="s">
        <v>90</v>
      </c>
      <c r="D22" s="651" t="s">
        <v>90</v>
      </c>
      <c r="E22" s="651" t="s">
        <v>90</v>
      </c>
      <c r="F22" s="651" t="s">
        <v>90</v>
      </c>
      <c r="G22" s="651" t="s">
        <v>90</v>
      </c>
      <c r="H22" s="651">
        <v>13</v>
      </c>
      <c r="I22" s="594">
        <v>40</v>
      </c>
      <c r="J22" s="594">
        <v>43</v>
      </c>
      <c r="K22" s="594">
        <v>18</v>
      </c>
      <c r="L22" s="594">
        <v>0</v>
      </c>
      <c r="M22" s="596">
        <v>0</v>
      </c>
      <c r="N22" s="596">
        <v>0</v>
      </c>
      <c r="O22" s="596">
        <v>0</v>
      </c>
      <c r="P22" s="596">
        <v>0</v>
      </c>
      <c r="Q22" s="607" t="s">
        <v>90</v>
      </c>
      <c r="R22" s="607" t="s">
        <v>90</v>
      </c>
      <c r="S22" s="607" t="s">
        <v>90</v>
      </c>
      <c r="T22" s="607" t="s">
        <v>90</v>
      </c>
      <c r="U22" s="607" t="s">
        <v>90</v>
      </c>
      <c r="V22" s="607" t="s">
        <v>90</v>
      </c>
      <c r="W22" s="607" t="s">
        <v>90</v>
      </c>
      <c r="X22" s="1079" t="s">
        <v>90</v>
      </c>
      <c r="Y22" s="849" t="s">
        <v>90</v>
      </c>
    </row>
    <row r="23" spans="1:25" s="408" customFormat="1" ht="18" customHeight="1">
      <c r="A23" s="650" t="s">
        <v>253</v>
      </c>
      <c r="B23" s="651" t="s">
        <v>90</v>
      </c>
      <c r="C23" s="651" t="s">
        <v>90</v>
      </c>
      <c r="D23" s="651" t="s">
        <v>90</v>
      </c>
      <c r="E23" s="651" t="s">
        <v>90</v>
      </c>
      <c r="F23" s="651" t="s">
        <v>90</v>
      </c>
      <c r="G23" s="651" t="s">
        <v>90</v>
      </c>
      <c r="H23" s="651">
        <v>5</v>
      </c>
      <c r="I23" s="594">
        <v>11</v>
      </c>
      <c r="J23" s="594">
        <v>11</v>
      </c>
      <c r="K23" s="594">
        <v>7</v>
      </c>
      <c r="L23" s="594">
        <v>6</v>
      </c>
      <c r="M23" s="596">
        <v>0</v>
      </c>
      <c r="N23" s="596">
        <v>0</v>
      </c>
      <c r="O23" s="596">
        <v>0</v>
      </c>
      <c r="P23" s="596">
        <v>0</v>
      </c>
      <c r="Q23" s="607" t="s">
        <v>90</v>
      </c>
      <c r="R23" s="607" t="s">
        <v>90</v>
      </c>
      <c r="S23" s="607" t="s">
        <v>90</v>
      </c>
      <c r="T23" s="607" t="s">
        <v>90</v>
      </c>
      <c r="U23" s="607" t="s">
        <v>90</v>
      </c>
      <c r="V23" s="607" t="s">
        <v>90</v>
      </c>
      <c r="W23" s="607" t="s">
        <v>90</v>
      </c>
      <c r="X23" s="1079" t="s">
        <v>90</v>
      </c>
      <c r="Y23" s="849" t="s">
        <v>90</v>
      </c>
    </row>
    <row r="24" spans="1:25" s="408" customFormat="1" ht="18" customHeight="1">
      <c r="A24" s="650" t="s">
        <v>214</v>
      </c>
      <c r="B24" s="665" t="s">
        <v>90</v>
      </c>
      <c r="C24" s="665" t="s">
        <v>90</v>
      </c>
      <c r="D24" s="665" t="s">
        <v>90</v>
      </c>
      <c r="E24" s="665" t="s">
        <v>90</v>
      </c>
      <c r="F24" s="666" t="s">
        <v>90</v>
      </c>
      <c r="G24" s="666" t="s">
        <v>90</v>
      </c>
      <c r="H24" s="668">
        <v>2.3</v>
      </c>
      <c r="I24" s="597">
        <v>10.1</v>
      </c>
      <c r="J24" s="597">
        <v>17</v>
      </c>
      <c r="K24" s="597">
        <v>8.7</v>
      </c>
      <c r="L24" s="597">
        <v>0.3</v>
      </c>
      <c r="M24" s="596">
        <v>0</v>
      </c>
      <c r="N24" s="596">
        <v>0</v>
      </c>
      <c r="O24" s="596">
        <v>0</v>
      </c>
      <c r="P24" s="596">
        <v>0</v>
      </c>
      <c r="Q24" s="607" t="s">
        <v>90</v>
      </c>
      <c r="R24" s="607" t="s">
        <v>90</v>
      </c>
      <c r="S24" s="607" t="s">
        <v>90</v>
      </c>
      <c r="T24" s="607" t="s">
        <v>90</v>
      </c>
      <c r="U24" s="607" t="s">
        <v>90</v>
      </c>
      <c r="V24" s="607" t="s">
        <v>90</v>
      </c>
      <c r="W24" s="607" t="s">
        <v>90</v>
      </c>
      <c r="X24" s="1079" t="s">
        <v>90</v>
      </c>
      <c r="Y24" s="849" t="s">
        <v>90</v>
      </c>
    </row>
    <row r="25" spans="1:25" s="408" customFormat="1" ht="18" customHeight="1">
      <c r="A25" s="650" t="s">
        <v>535</v>
      </c>
      <c r="B25" s="651"/>
      <c r="C25" s="651" t="s">
        <v>90</v>
      </c>
      <c r="D25" s="651" t="s">
        <v>90</v>
      </c>
      <c r="E25" s="651" t="s">
        <v>90</v>
      </c>
      <c r="F25" s="651" t="s">
        <v>90</v>
      </c>
      <c r="G25" s="651" t="s">
        <v>90</v>
      </c>
      <c r="H25" s="651" t="s">
        <v>90</v>
      </c>
      <c r="I25" s="595">
        <v>7</v>
      </c>
      <c r="J25" s="595">
        <v>18</v>
      </c>
      <c r="K25" s="594">
        <v>26</v>
      </c>
      <c r="L25" s="594">
        <v>20</v>
      </c>
      <c r="M25" s="596">
        <v>0</v>
      </c>
      <c r="N25" s="596">
        <v>1</v>
      </c>
      <c r="O25" s="596">
        <v>0</v>
      </c>
      <c r="P25" s="596">
        <v>0</v>
      </c>
      <c r="Q25" s="607" t="s">
        <v>90</v>
      </c>
      <c r="R25" s="607" t="s">
        <v>90</v>
      </c>
      <c r="S25" s="607" t="s">
        <v>90</v>
      </c>
      <c r="T25" s="607" t="s">
        <v>90</v>
      </c>
      <c r="U25" s="607" t="s">
        <v>90</v>
      </c>
      <c r="V25" s="607" t="s">
        <v>90</v>
      </c>
      <c r="W25" s="607" t="s">
        <v>90</v>
      </c>
      <c r="X25" s="1079" t="s">
        <v>90</v>
      </c>
      <c r="Y25" s="849" t="s">
        <v>90</v>
      </c>
    </row>
    <row r="26" spans="1:25" s="408" customFormat="1" ht="18" customHeight="1">
      <c r="A26" s="650" t="s">
        <v>259</v>
      </c>
      <c r="B26" s="651" t="s">
        <v>90</v>
      </c>
      <c r="C26" s="651" t="s">
        <v>90</v>
      </c>
      <c r="D26" s="651" t="s">
        <v>90</v>
      </c>
      <c r="E26" s="651" t="s">
        <v>90</v>
      </c>
      <c r="F26" s="651" t="s">
        <v>90</v>
      </c>
      <c r="G26" s="651" t="s">
        <v>90</v>
      </c>
      <c r="H26" s="651" t="s">
        <v>90</v>
      </c>
      <c r="I26" s="651" t="s">
        <v>90</v>
      </c>
      <c r="J26" s="671">
        <v>5</v>
      </c>
      <c r="K26" s="672">
        <v>16</v>
      </c>
      <c r="L26" s="672">
        <v>25</v>
      </c>
      <c r="M26" s="596">
        <v>16</v>
      </c>
      <c r="N26" s="596">
        <v>1</v>
      </c>
      <c r="O26" s="596">
        <v>1</v>
      </c>
      <c r="P26" s="596">
        <v>1</v>
      </c>
      <c r="Q26" s="607" t="s">
        <v>90</v>
      </c>
      <c r="R26" s="607" t="s">
        <v>90</v>
      </c>
      <c r="S26" s="607" t="s">
        <v>90</v>
      </c>
      <c r="T26" s="607" t="s">
        <v>90</v>
      </c>
      <c r="U26" s="607" t="s">
        <v>90</v>
      </c>
      <c r="V26" s="607" t="s">
        <v>90</v>
      </c>
      <c r="W26" s="607" t="s">
        <v>90</v>
      </c>
      <c r="X26" s="1079" t="s">
        <v>90</v>
      </c>
      <c r="Y26" s="849" t="s">
        <v>90</v>
      </c>
    </row>
    <row r="27" spans="1:25" s="408" customFormat="1" ht="18" customHeight="1">
      <c r="A27" s="308" t="s">
        <v>260</v>
      </c>
      <c r="B27" s="661"/>
      <c r="C27" s="661"/>
      <c r="D27" s="661"/>
      <c r="E27" s="661"/>
      <c r="F27" s="661"/>
      <c r="G27" s="661"/>
      <c r="H27" s="661"/>
      <c r="I27" s="628"/>
      <c r="J27" s="628"/>
      <c r="K27" s="628"/>
      <c r="L27" s="628"/>
      <c r="M27" s="631"/>
      <c r="N27" s="631"/>
      <c r="O27" s="631"/>
      <c r="P27" s="631"/>
      <c r="Q27" s="631"/>
      <c r="R27" s="631"/>
      <c r="S27" s="631"/>
      <c r="T27" s="662"/>
      <c r="U27" s="631"/>
      <c r="V27" s="631"/>
      <c r="W27" s="631"/>
      <c r="X27" s="1082"/>
      <c r="Y27" s="857"/>
    </row>
    <row r="28" spans="1:25" s="408" customFormat="1" ht="18" customHeight="1">
      <c r="A28" s="309" t="s">
        <v>683</v>
      </c>
      <c r="B28" s="661"/>
      <c r="C28" s="661"/>
      <c r="D28" s="661"/>
      <c r="E28" s="661"/>
      <c r="F28" s="661"/>
      <c r="G28" s="661"/>
      <c r="H28" s="661"/>
      <c r="I28" s="628"/>
      <c r="J28" s="628"/>
      <c r="K28" s="628"/>
      <c r="L28" s="628"/>
      <c r="M28" s="631"/>
      <c r="N28" s="631"/>
      <c r="O28" s="631"/>
      <c r="P28" s="631"/>
      <c r="Q28" s="631"/>
      <c r="R28" s="631"/>
      <c r="S28" s="631"/>
      <c r="T28" s="662"/>
      <c r="U28" s="631"/>
      <c r="V28" s="631"/>
      <c r="W28" s="631"/>
      <c r="X28" s="1082"/>
      <c r="Y28" s="857"/>
    </row>
    <row r="29" spans="1:25" s="408" customFormat="1" ht="18" customHeight="1">
      <c r="A29" s="650" t="s">
        <v>261</v>
      </c>
      <c r="B29" s="651" t="s">
        <v>90</v>
      </c>
      <c r="C29" s="651" t="s">
        <v>90</v>
      </c>
      <c r="D29" s="651" t="s">
        <v>90</v>
      </c>
      <c r="E29" s="651" t="s">
        <v>90</v>
      </c>
      <c r="F29" s="651">
        <v>4</v>
      </c>
      <c r="G29" s="651">
        <v>31</v>
      </c>
      <c r="H29" s="651">
        <v>57</v>
      </c>
      <c r="I29" s="594">
        <v>56</v>
      </c>
      <c r="J29" s="594">
        <v>37</v>
      </c>
      <c r="K29" s="595">
        <v>30</v>
      </c>
      <c r="L29" s="594">
        <v>36</v>
      </c>
      <c r="M29" s="596">
        <v>46</v>
      </c>
      <c r="N29" s="596">
        <v>53</v>
      </c>
      <c r="O29" s="596">
        <v>54</v>
      </c>
      <c r="P29" s="596">
        <v>51</v>
      </c>
      <c r="Q29" s="673">
        <v>53</v>
      </c>
      <c r="R29" s="673">
        <v>53</v>
      </c>
      <c r="S29" s="673">
        <v>51</v>
      </c>
      <c r="T29" s="674">
        <v>32</v>
      </c>
      <c r="U29" s="596">
        <v>87</v>
      </c>
      <c r="V29" s="596">
        <v>87</v>
      </c>
      <c r="W29" s="673">
        <v>51</v>
      </c>
      <c r="X29" s="1075">
        <v>61</v>
      </c>
      <c r="Y29" s="1101">
        <v>60</v>
      </c>
    </row>
    <row r="30" spans="1:25" s="408" customFormat="1" ht="18" customHeight="1">
      <c r="A30" s="650" t="s">
        <v>256</v>
      </c>
      <c r="B30" s="665" t="s">
        <v>90</v>
      </c>
      <c r="C30" s="665" t="s">
        <v>90</v>
      </c>
      <c r="D30" s="665" t="s">
        <v>90</v>
      </c>
      <c r="E30" s="666" t="s">
        <v>90</v>
      </c>
      <c r="F30" s="675">
        <v>0.2</v>
      </c>
      <c r="G30" s="675">
        <v>1.4</v>
      </c>
      <c r="H30" s="668">
        <v>2</v>
      </c>
      <c r="I30" s="676">
        <v>2</v>
      </c>
      <c r="J30" s="676">
        <v>1.6</v>
      </c>
      <c r="K30" s="677">
        <v>1.3</v>
      </c>
      <c r="L30" s="676">
        <v>1.6</v>
      </c>
      <c r="M30" s="598">
        <v>2.2</v>
      </c>
      <c r="N30" s="598">
        <v>2.6</v>
      </c>
      <c r="O30" s="598">
        <v>2.7</v>
      </c>
      <c r="P30" s="598">
        <v>2.6</v>
      </c>
      <c r="Q30" s="658">
        <v>3.3</v>
      </c>
      <c r="R30" s="658">
        <v>3.3</v>
      </c>
      <c r="S30" s="658">
        <v>2.7</v>
      </c>
      <c r="T30" s="660">
        <v>1.7</v>
      </c>
      <c r="U30" s="598">
        <v>4.1</v>
      </c>
      <c r="V30" s="598">
        <v>4.1</v>
      </c>
      <c r="W30" s="658">
        <v>2.7</v>
      </c>
      <c r="X30" s="1076">
        <v>3.3</v>
      </c>
      <c r="Y30" s="1102">
        <v>3.6</v>
      </c>
    </row>
    <row r="31" spans="1:25" s="408" customFormat="1" ht="18" customHeight="1">
      <c r="A31" s="308" t="s">
        <v>262</v>
      </c>
      <c r="B31" s="661"/>
      <c r="C31" s="661"/>
      <c r="D31" s="661"/>
      <c r="E31" s="661"/>
      <c r="F31" s="661"/>
      <c r="G31" s="661"/>
      <c r="H31" s="661"/>
      <c r="I31" s="628"/>
      <c r="J31" s="628"/>
      <c r="K31" s="628"/>
      <c r="L31" s="628"/>
      <c r="M31" s="631"/>
      <c r="N31" s="631"/>
      <c r="O31" s="631"/>
      <c r="P31" s="631"/>
      <c r="Q31" s="678"/>
      <c r="R31" s="678"/>
      <c r="S31" s="678"/>
      <c r="T31" s="679"/>
      <c r="U31" s="678"/>
      <c r="V31" s="678"/>
      <c r="W31" s="678"/>
      <c r="X31" s="678"/>
      <c r="Y31" s="887"/>
    </row>
    <row r="32" spans="1:25" s="408" customFormat="1" ht="18" customHeight="1">
      <c r="A32" s="650" t="s">
        <v>536</v>
      </c>
      <c r="B32" s="651" t="s">
        <v>90</v>
      </c>
      <c r="C32" s="651" t="s">
        <v>90</v>
      </c>
      <c r="D32" s="651" t="s">
        <v>90</v>
      </c>
      <c r="E32" s="651" t="s">
        <v>90</v>
      </c>
      <c r="F32" s="651" t="s">
        <v>90</v>
      </c>
      <c r="G32" s="651" t="s">
        <v>90</v>
      </c>
      <c r="H32" s="651">
        <v>13</v>
      </c>
      <c r="I32" s="594">
        <v>23</v>
      </c>
      <c r="J32" s="594">
        <v>23</v>
      </c>
      <c r="K32" s="595">
        <v>12</v>
      </c>
      <c r="L32" s="594">
        <v>9</v>
      </c>
      <c r="M32" s="596">
        <v>0</v>
      </c>
      <c r="N32" s="607" t="s">
        <v>90</v>
      </c>
      <c r="O32" s="607" t="s">
        <v>90</v>
      </c>
      <c r="P32" s="607" t="s">
        <v>90</v>
      </c>
      <c r="Q32" s="607" t="s">
        <v>90</v>
      </c>
      <c r="R32" s="607" t="s">
        <v>90</v>
      </c>
      <c r="S32" s="607" t="s">
        <v>90</v>
      </c>
      <c r="T32" s="680" t="s">
        <v>90</v>
      </c>
      <c r="U32" s="607" t="s">
        <v>90</v>
      </c>
      <c r="V32" s="607" t="s">
        <v>90</v>
      </c>
      <c r="W32" s="607" t="s">
        <v>90</v>
      </c>
      <c r="X32" s="1079" t="s">
        <v>90</v>
      </c>
      <c r="Y32" s="849" t="s">
        <v>90</v>
      </c>
    </row>
    <row r="33" spans="1:25" s="408" customFormat="1" ht="18" customHeight="1">
      <c r="A33" s="650" t="s">
        <v>259</v>
      </c>
      <c r="B33" s="651" t="s">
        <v>90</v>
      </c>
      <c r="C33" s="651" t="s">
        <v>90</v>
      </c>
      <c r="D33" s="651" t="s">
        <v>90</v>
      </c>
      <c r="E33" s="651" t="s">
        <v>90</v>
      </c>
      <c r="F33" s="651" t="s">
        <v>90</v>
      </c>
      <c r="G33" s="651" t="s">
        <v>90</v>
      </c>
      <c r="H33" s="651" t="s">
        <v>90</v>
      </c>
      <c r="I33" s="651" t="s">
        <v>90</v>
      </c>
      <c r="J33" s="671">
        <v>5</v>
      </c>
      <c r="K33" s="672">
        <v>10</v>
      </c>
      <c r="L33" s="671">
        <v>1</v>
      </c>
      <c r="M33" s="596">
        <v>9</v>
      </c>
      <c r="N33" s="607" t="s">
        <v>90</v>
      </c>
      <c r="O33" s="607" t="s">
        <v>90</v>
      </c>
      <c r="P33" s="607" t="s">
        <v>90</v>
      </c>
      <c r="Q33" s="607" t="s">
        <v>90</v>
      </c>
      <c r="R33" s="607" t="s">
        <v>90</v>
      </c>
      <c r="S33" s="607" t="s">
        <v>90</v>
      </c>
      <c r="T33" s="680" t="s">
        <v>90</v>
      </c>
      <c r="U33" s="607" t="s">
        <v>90</v>
      </c>
      <c r="V33" s="607" t="s">
        <v>90</v>
      </c>
      <c r="W33" s="607" t="s">
        <v>90</v>
      </c>
      <c r="X33" s="1079" t="s">
        <v>90</v>
      </c>
      <c r="Y33" s="849" t="s">
        <v>90</v>
      </c>
    </row>
    <row r="34" spans="1:25" s="408" customFormat="1" ht="18" customHeight="1">
      <c r="A34" s="308" t="s">
        <v>263</v>
      </c>
      <c r="B34" s="661"/>
      <c r="C34" s="661"/>
      <c r="D34" s="661"/>
      <c r="E34" s="661"/>
      <c r="F34" s="661"/>
      <c r="G34" s="661"/>
      <c r="H34" s="661"/>
      <c r="I34" s="628"/>
      <c r="J34" s="628"/>
      <c r="K34" s="628"/>
      <c r="L34" s="628"/>
      <c r="M34" s="631"/>
      <c r="N34" s="631"/>
      <c r="O34" s="631"/>
      <c r="P34" s="631"/>
      <c r="Q34" s="678"/>
      <c r="R34" s="678"/>
      <c r="S34" s="678"/>
      <c r="T34" s="679"/>
      <c r="U34" s="678"/>
      <c r="V34" s="678"/>
      <c r="W34" s="678"/>
      <c r="X34" s="678"/>
      <c r="Y34" s="887"/>
    </row>
    <row r="35" spans="1:25" s="408" customFormat="1" ht="18" customHeight="1">
      <c r="A35" s="650" t="s">
        <v>264</v>
      </c>
      <c r="B35" s="651" t="s">
        <v>90</v>
      </c>
      <c r="C35" s="651" t="s">
        <v>90</v>
      </c>
      <c r="D35" s="651" t="s">
        <v>90</v>
      </c>
      <c r="E35" s="651" t="s">
        <v>90</v>
      </c>
      <c r="F35" s="651" t="s">
        <v>90</v>
      </c>
      <c r="G35" s="651" t="s">
        <v>90</v>
      </c>
      <c r="H35" s="651" t="s">
        <v>90</v>
      </c>
      <c r="I35" s="651" t="s">
        <v>90</v>
      </c>
      <c r="J35" s="594">
        <v>3</v>
      </c>
      <c r="K35" s="594">
        <v>5</v>
      </c>
      <c r="L35" s="594">
        <v>14</v>
      </c>
      <c r="M35" s="596">
        <v>7</v>
      </c>
      <c r="N35" s="596">
        <v>10</v>
      </c>
      <c r="O35" s="596">
        <v>9</v>
      </c>
      <c r="P35" s="596">
        <v>10</v>
      </c>
      <c r="Q35" s="607" t="s">
        <v>90</v>
      </c>
      <c r="R35" s="607" t="s">
        <v>90</v>
      </c>
      <c r="S35" s="607" t="s">
        <v>90</v>
      </c>
      <c r="T35" s="680" t="s">
        <v>90</v>
      </c>
      <c r="U35" s="607" t="s">
        <v>90</v>
      </c>
      <c r="V35" s="607" t="s">
        <v>90</v>
      </c>
      <c r="W35" s="607" t="s">
        <v>90</v>
      </c>
      <c r="X35" s="1079" t="s">
        <v>90</v>
      </c>
      <c r="Y35" s="849" t="s">
        <v>90</v>
      </c>
    </row>
    <row r="36" spans="1:25" s="408" customFormat="1" ht="18" customHeight="1">
      <c r="A36" s="650" t="s">
        <v>214</v>
      </c>
      <c r="B36" s="665" t="s">
        <v>90</v>
      </c>
      <c r="C36" s="665" t="s">
        <v>90</v>
      </c>
      <c r="D36" s="665" t="s">
        <v>90</v>
      </c>
      <c r="E36" s="666" t="s">
        <v>90</v>
      </c>
      <c r="F36" s="666" t="s">
        <v>90</v>
      </c>
      <c r="G36" s="666" t="s">
        <v>90</v>
      </c>
      <c r="H36" s="666" t="s">
        <v>90</v>
      </c>
      <c r="I36" s="666" t="s">
        <v>90</v>
      </c>
      <c r="J36" s="676">
        <v>0.5</v>
      </c>
      <c r="K36" s="676">
        <v>2.2</v>
      </c>
      <c r="L36" s="676">
        <v>1.3</v>
      </c>
      <c r="M36" s="643">
        <v>0.05</v>
      </c>
      <c r="N36" s="643">
        <v>0.17</v>
      </c>
      <c r="O36" s="643">
        <v>0.41</v>
      </c>
      <c r="P36" s="643">
        <v>0.42</v>
      </c>
      <c r="Q36" s="607" t="s">
        <v>90</v>
      </c>
      <c r="R36" s="607" t="s">
        <v>90</v>
      </c>
      <c r="S36" s="607" t="s">
        <v>90</v>
      </c>
      <c r="T36" s="680" t="s">
        <v>90</v>
      </c>
      <c r="U36" s="607" t="s">
        <v>90</v>
      </c>
      <c r="V36" s="607" t="s">
        <v>90</v>
      </c>
      <c r="W36" s="607" t="s">
        <v>90</v>
      </c>
      <c r="X36" s="1079" t="s">
        <v>90</v>
      </c>
      <c r="Y36" s="849" t="s">
        <v>90</v>
      </c>
    </row>
    <row r="37" spans="1:25" s="408" customFormat="1" ht="18" customHeight="1">
      <c r="A37" s="306" t="s">
        <v>265</v>
      </c>
      <c r="B37" s="307"/>
      <c r="C37" s="307"/>
      <c r="D37" s="307"/>
      <c r="E37" s="307"/>
      <c r="F37" s="310"/>
      <c r="G37" s="307"/>
      <c r="H37" s="311"/>
      <c r="I37" s="606"/>
      <c r="J37" s="606"/>
      <c r="K37" s="606"/>
      <c r="L37" s="606"/>
      <c r="M37" s="602"/>
      <c r="N37" s="602"/>
      <c r="O37" s="602"/>
      <c r="P37" s="602"/>
      <c r="Q37" s="681"/>
      <c r="R37" s="681"/>
      <c r="S37" s="681"/>
      <c r="T37" s="682"/>
      <c r="U37" s="681"/>
      <c r="V37" s="681"/>
      <c r="W37" s="681"/>
      <c r="X37" s="681"/>
      <c r="Y37" s="888"/>
    </row>
    <row r="38" spans="1:25" s="408" customFormat="1" ht="18" customHeight="1">
      <c r="A38" s="650" t="s">
        <v>84</v>
      </c>
      <c r="B38" s="651" t="s">
        <v>90</v>
      </c>
      <c r="C38" s="651" t="s">
        <v>90</v>
      </c>
      <c r="D38" s="651" t="s">
        <v>90</v>
      </c>
      <c r="E38" s="651" t="s">
        <v>90</v>
      </c>
      <c r="F38" s="651" t="s">
        <v>90</v>
      </c>
      <c r="G38" s="651">
        <v>2</v>
      </c>
      <c r="H38" s="651">
        <v>3</v>
      </c>
      <c r="I38" s="639">
        <v>4</v>
      </c>
      <c r="J38" s="639">
        <v>6</v>
      </c>
      <c r="K38" s="639">
        <v>7</v>
      </c>
      <c r="L38" s="639">
        <v>5</v>
      </c>
      <c r="M38" s="596">
        <v>5</v>
      </c>
      <c r="N38" s="596">
        <v>3</v>
      </c>
      <c r="O38" s="596">
        <v>2</v>
      </c>
      <c r="P38" s="607" t="s">
        <v>90</v>
      </c>
      <c r="Q38" s="607" t="s">
        <v>90</v>
      </c>
      <c r="R38" s="607" t="s">
        <v>90</v>
      </c>
      <c r="S38" s="607" t="s">
        <v>90</v>
      </c>
      <c r="T38" s="680" t="s">
        <v>90</v>
      </c>
      <c r="U38" s="607" t="s">
        <v>90</v>
      </c>
      <c r="V38" s="607" t="s">
        <v>90</v>
      </c>
      <c r="W38" s="607" t="s">
        <v>90</v>
      </c>
      <c r="X38" s="1079" t="s">
        <v>90</v>
      </c>
      <c r="Y38" s="849" t="s">
        <v>90</v>
      </c>
    </row>
    <row r="39" spans="1:25" s="408" customFormat="1" ht="18" customHeight="1">
      <c r="A39" s="650" t="s">
        <v>251</v>
      </c>
      <c r="B39" s="651" t="s">
        <v>90</v>
      </c>
      <c r="C39" s="651" t="s">
        <v>90</v>
      </c>
      <c r="D39" s="651" t="s">
        <v>90</v>
      </c>
      <c r="E39" s="651" t="s">
        <v>90</v>
      </c>
      <c r="F39" s="651" t="s">
        <v>90</v>
      </c>
      <c r="G39" s="651">
        <v>2</v>
      </c>
      <c r="H39" s="651">
        <v>0</v>
      </c>
      <c r="I39" s="639">
        <v>1</v>
      </c>
      <c r="J39" s="639">
        <v>0</v>
      </c>
      <c r="K39" s="683">
        <v>0</v>
      </c>
      <c r="L39" s="639">
        <v>2</v>
      </c>
      <c r="M39" s="596">
        <v>1</v>
      </c>
      <c r="N39" s="596">
        <v>2</v>
      </c>
      <c r="O39" s="596">
        <v>0</v>
      </c>
      <c r="P39" s="607" t="s">
        <v>90</v>
      </c>
      <c r="Q39" s="607" t="s">
        <v>90</v>
      </c>
      <c r="R39" s="607" t="s">
        <v>90</v>
      </c>
      <c r="S39" s="607" t="s">
        <v>90</v>
      </c>
      <c r="T39" s="680" t="s">
        <v>90</v>
      </c>
      <c r="U39" s="607" t="s">
        <v>90</v>
      </c>
      <c r="V39" s="607" t="s">
        <v>90</v>
      </c>
      <c r="W39" s="607" t="s">
        <v>90</v>
      </c>
      <c r="X39" s="1079" t="s">
        <v>90</v>
      </c>
      <c r="Y39" s="849" t="s">
        <v>90</v>
      </c>
    </row>
    <row r="40" spans="1:25" s="408" customFormat="1" ht="18" customHeight="1">
      <c r="A40" s="650" t="s">
        <v>256</v>
      </c>
      <c r="B40" s="675" t="s">
        <v>90</v>
      </c>
      <c r="C40" s="675" t="s">
        <v>90</v>
      </c>
      <c r="D40" s="675" t="s">
        <v>90</v>
      </c>
      <c r="E40" s="675" t="s">
        <v>90</v>
      </c>
      <c r="F40" s="675" t="s">
        <v>90</v>
      </c>
      <c r="G40" s="668">
        <v>0.1</v>
      </c>
      <c r="H40" s="668">
        <v>0.1</v>
      </c>
      <c r="I40" s="597">
        <v>0.18</v>
      </c>
      <c r="J40" s="597">
        <v>0.2</v>
      </c>
      <c r="K40" s="597">
        <v>0.2</v>
      </c>
      <c r="L40" s="597">
        <v>0.2</v>
      </c>
      <c r="M40" s="598">
        <v>0.2</v>
      </c>
      <c r="N40" s="643">
        <v>0.16</v>
      </c>
      <c r="O40" s="643">
        <v>0.06</v>
      </c>
      <c r="P40" s="607" t="s">
        <v>90</v>
      </c>
      <c r="Q40" s="607" t="s">
        <v>90</v>
      </c>
      <c r="R40" s="607" t="s">
        <v>90</v>
      </c>
      <c r="S40" s="607" t="s">
        <v>90</v>
      </c>
      <c r="T40" s="680" t="s">
        <v>90</v>
      </c>
      <c r="U40" s="607" t="s">
        <v>90</v>
      </c>
      <c r="V40" s="607" t="s">
        <v>90</v>
      </c>
      <c r="W40" s="607" t="s">
        <v>90</v>
      </c>
      <c r="X40" s="1079" t="s">
        <v>90</v>
      </c>
      <c r="Y40" s="849" t="s">
        <v>90</v>
      </c>
    </row>
    <row r="41" spans="1:25" s="408" customFormat="1" ht="18" customHeight="1">
      <c r="A41" s="308" t="s">
        <v>540</v>
      </c>
      <c r="B41" s="661"/>
      <c r="C41" s="661"/>
      <c r="D41" s="661"/>
      <c r="E41" s="661"/>
      <c r="F41" s="661"/>
      <c r="G41" s="661"/>
      <c r="H41" s="661"/>
      <c r="I41" s="628"/>
      <c r="J41" s="628"/>
      <c r="K41" s="628"/>
      <c r="L41" s="628"/>
      <c r="M41" s="631"/>
      <c r="N41" s="631"/>
      <c r="O41" s="631"/>
      <c r="P41" s="631"/>
      <c r="Q41" s="631"/>
      <c r="R41" s="631"/>
      <c r="S41" s="631"/>
      <c r="T41" s="662"/>
      <c r="U41" s="631"/>
      <c r="V41" s="631"/>
      <c r="W41" s="631"/>
      <c r="X41" s="1082"/>
      <c r="Y41" s="857"/>
    </row>
    <row r="42" spans="1:25" s="408" customFormat="1" ht="18" customHeight="1">
      <c r="A42" s="650" t="s">
        <v>251</v>
      </c>
      <c r="B42" s="651" t="s">
        <v>90</v>
      </c>
      <c r="C42" s="651" t="s">
        <v>90</v>
      </c>
      <c r="D42" s="651" t="s">
        <v>90</v>
      </c>
      <c r="E42" s="651" t="s">
        <v>90</v>
      </c>
      <c r="F42" s="651" t="s">
        <v>90</v>
      </c>
      <c r="G42" s="651" t="s">
        <v>90</v>
      </c>
      <c r="H42" s="651" t="s">
        <v>90</v>
      </c>
      <c r="I42" s="651" t="s">
        <v>90</v>
      </c>
      <c r="J42" s="651" t="s">
        <v>90</v>
      </c>
      <c r="K42" s="651" t="s">
        <v>90</v>
      </c>
      <c r="L42" s="651" t="s">
        <v>90</v>
      </c>
      <c r="M42" s="651" t="s">
        <v>90</v>
      </c>
      <c r="N42" s="651" t="s">
        <v>90</v>
      </c>
      <c r="O42" s="651" t="s">
        <v>90</v>
      </c>
      <c r="P42" s="596">
        <v>7</v>
      </c>
      <c r="Q42" s="596">
        <v>16</v>
      </c>
      <c r="R42" s="673">
        <v>16</v>
      </c>
      <c r="S42" s="673">
        <v>18</v>
      </c>
      <c r="T42" s="674">
        <v>19</v>
      </c>
      <c r="U42" s="673">
        <v>11</v>
      </c>
      <c r="V42" s="673">
        <v>9</v>
      </c>
      <c r="W42" s="673">
        <v>3</v>
      </c>
      <c r="X42" s="1091">
        <v>16</v>
      </c>
      <c r="Y42" s="889">
        <v>15</v>
      </c>
    </row>
    <row r="43" spans="1:25" s="408" customFormat="1" ht="18" customHeight="1">
      <c r="A43" s="650" t="s">
        <v>214</v>
      </c>
      <c r="B43" s="665" t="s">
        <v>90</v>
      </c>
      <c r="C43" s="665" t="s">
        <v>90</v>
      </c>
      <c r="D43" s="665" t="s">
        <v>90</v>
      </c>
      <c r="E43" s="666" t="s">
        <v>90</v>
      </c>
      <c r="F43" s="666" t="s">
        <v>90</v>
      </c>
      <c r="G43" s="666" t="s">
        <v>90</v>
      </c>
      <c r="H43" s="666" t="s">
        <v>90</v>
      </c>
      <c r="I43" s="666" t="s">
        <v>90</v>
      </c>
      <c r="J43" s="666" t="s">
        <v>90</v>
      </c>
      <c r="K43" s="666" t="s">
        <v>90</v>
      </c>
      <c r="L43" s="666" t="s">
        <v>90</v>
      </c>
      <c r="M43" s="666" t="s">
        <v>90</v>
      </c>
      <c r="N43" s="666" t="s">
        <v>90</v>
      </c>
      <c r="O43" s="666" t="s">
        <v>90</v>
      </c>
      <c r="P43" s="643">
        <v>0.71</v>
      </c>
      <c r="Q43" s="643">
        <v>1.73</v>
      </c>
      <c r="R43" s="659">
        <v>1.48</v>
      </c>
      <c r="S43" s="627">
        <v>2.2</v>
      </c>
      <c r="T43" s="684">
        <v>2.04</v>
      </c>
      <c r="U43" s="627">
        <v>1.49</v>
      </c>
      <c r="V43" s="627">
        <v>1.4</v>
      </c>
      <c r="W43" s="627">
        <v>0.4</v>
      </c>
      <c r="X43" s="1081">
        <v>2.38</v>
      </c>
      <c r="Y43" s="856">
        <v>1.9</v>
      </c>
    </row>
    <row r="45" spans="1:25" s="53" customFormat="1" ht="12" customHeight="1">
      <c r="A45" s="53" t="s">
        <v>266</v>
      </c>
      <c r="T45" s="685"/>
      <c r="Y45" s="771"/>
    </row>
    <row r="46" spans="1:25" s="53" customFormat="1" ht="12" customHeight="1">
      <c r="A46" s="53" t="s">
        <v>267</v>
      </c>
      <c r="T46" s="685"/>
      <c r="Y46" s="771"/>
    </row>
    <row r="47" spans="1:25" s="686" customFormat="1" ht="12" customHeight="1">
      <c r="A47" s="53" t="s">
        <v>268</v>
      </c>
      <c r="B47" s="53"/>
      <c r="C47" s="53"/>
      <c r="D47" s="53"/>
      <c r="E47" s="53"/>
      <c r="F47" s="53"/>
      <c r="G47" s="53"/>
      <c r="H47" s="53"/>
      <c r="T47" s="687"/>
      <c r="Y47" s="890"/>
    </row>
    <row r="48" spans="1:25" s="686" customFormat="1" ht="12" customHeight="1">
      <c r="A48" s="53" t="s">
        <v>269</v>
      </c>
      <c r="B48" s="53"/>
      <c r="C48" s="53"/>
      <c r="D48" s="53"/>
      <c r="E48" s="53"/>
      <c r="F48" s="53"/>
      <c r="G48" s="53"/>
      <c r="H48" s="53"/>
      <c r="T48" s="687"/>
      <c r="Y48" s="890"/>
    </row>
    <row r="49" spans="1:25" s="53" customFormat="1" ht="12" customHeight="1">
      <c r="A49" s="53" t="s">
        <v>270</v>
      </c>
      <c r="T49" s="685"/>
      <c r="Y49" s="771"/>
    </row>
    <row r="50" spans="1:25" s="53" customFormat="1" ht="12" customHeight="1">
      <c r="A50" s="53" t="s">
        <v>271</v>
      </c>
      <c r="T50" s="685"/>
      <c r="Y50" s="771"/>
    </row>
    <row r="51" spans="1:25" s="53" customFormat="1" ht="12" customHeight="1">
      <c r="A51" s="53" t="s">
        <v>541</v>
      </c>
      <c r="T51" s="685"/>
      <c r="Y51" s="771"/>
    </row>
    <row r="52" spans="1:25" s="53" customFormat="1" ht="12" customHeight="1">
      <c r="A52" s="53" t="s">
        <v>537</v>
      </c>
      <c r="T52" s="685"/>
      <c r="Y52" s="771"/>
    </row>
    <row r="53" spans="1:25" s="53" customFormat="1" ht="12" customHeight="1">
      <c r="A53" s="53" t="s">
        <v>538</v>
      </c>
      <c r="T53" s="685"/>
      <c r="Y53" s="771"/>
    </row>
    <row r="54" spans="1:25" s="53" customFormat="1" ht="12" customHeight="1">
      <c r="A54" s="57"/>
      <c r="T54" s="685"/>
      <c r="Y54" s="771"/>
    </row>
    <row r="55" spans="1:25" s="53" customFormat="1" ht="12" customHeight="1">
      <c r="A55" s="53" t="s">
        <v>231</v>
      </c>
      <c r="T55" s="685"/>
      <c r="Y55" s="771"/>
    </row>
    <row r="56" spans="1:25" s="53" customFormat="1" ht="12" customHeight="1">
      <c r="A56" s="1118" t="s">
        <v>864</v>
      </c>
      <c r="B56" s="1118"/>
      <c r="C56" s="1118"/>
      <c r="D56" s="1118"/>
      <c r="E56" s="1118"/>
      <c r="F56" s="1118"/>
      <c r="G56" s="1118"/>
      <c r="H56" s="1118"/>
      <c r="I56" s="1118"/>
      <c r="J56" s="1118"/>
      <c r="K56" s="1118"/>
      <c r="L56" s="1118"/>
      <c r="M56" s="1118"/>
      <c r="N56" s="1118"/>
      <c r="O56" s="1118"/>
      <c r="P56" s="1118"/>
      <c r="Q56" s="1118"/>
      <c r="R56" s="1118"/>
      <c r="S56" s="1118"/>
      <c r="T56" s="1118"/>
      <c r="U56" s="1118"/>
      <c r="V56" s="1118"/>
      <c r="W56" s="1118"/>
      <c r="X56" s="1118"/>
      <c r="Y56" s="1118"/>
    </row>
    <row r="57" spans="1:25" s="53" customFormat="1" ht="12" customHeight="1">
      <c r="A57" s="1118" t="s">
        <v>875</v>
      </c>
      <c r="B57" s="1118"/>
      <c r="C57" s="1118"/>
      <c r="D57" s="1118"/>
      <c r="E57" s="1118"/>
      <c r="F57" s="1118"/>
      <c r="G57" s="1118"/>
      <c r="H57" s="1118"/>
      <c r="I57" s="1118"/>
      <c r="J57" s="1118"/>
      <c r="K57" s="1118"/>
      <c r="L57" s="1118"/>
      <c r="M57" s="1118"/>
      <c r="N57" s="1118"/>
      <c r="O57" s="1118"/>
      <c r="P57" s="1118"/>
      <c r="Q57" s="1118"/>
      <c r="R57" s="1118"/>
      <c r="S57" s="1118"/>
      <c r="T57" s="1118"/>
      <c r="U57" s="1118"/>
      <c r="V57" s="1118"/>
      <c r="W57" s="1118"/>
      <c r="X57" s="1118"/>
      <c r="Y57" s="1118"/>
    </row>
  </sheetData>
  <sheetProtection/>
  <mergeCells count="6">
    <mergeCell ref="A57:Y57"/>
    <mergeCell ref="A1:Y1"/>
    <mergeCell ref="A3:Y3"/>
    <mergeCell ref="A4:Y4"/>
    <mergeCell ref="A5:Y5"/>
    <mergeCell ref="A56:Y56"/>
  </mergeCells>
  <printOptions horizontalCentered="1"/>
  <pageMargins left="0.7874015748031497" right="0.7874015748031497" top="0.984251968503937" bottom="0.984251968503937" header="0" footer="0"/>
  <pageSetup fitToHeight="1" fitToWidth="1" horizontalDpi="600" verticalDpi="600" orientation="landscape" scale="40"/>
</worksheet>
</file>

<file path=xl/worksheets/sheet26.xml><?xml version="1.0" encoding="utf-8"?>
<worksheet xmlns="http://schemas.openxmlformats.org/spreadsheetml/2006/main" xmlns:r="http://schemas.openxmlformats.org/officeDocument/2006/relationships">
  <sheetPr>
    <tabColor theme="9" tint="-0.24997000396251678"/>
    <pageSetUpPr fitToPage="1"/>
  </sheetPr>
  <dimension ref="A1:Z52"/>
  <sheetViews>
    <sheetView zoomScalePageLayoutView="0" workbookViewId="0" topLeftCell="A1">
      <pane xSplit="1" ySplit="7" topLeftCell="G8" activePane="bottomRight" state="frozen"/>
      <selection pane="topLeft" activeCell="A1" sqref="A1"/>
      <selection pane="topRight" activeCell="B1" sqref="B1"/>
      <selection pane="bottomLeft" activeCell="A8" sqref="A8"/>
      <selection pane="bottomRight" activeCell="F34" sqref="F34"/>
    </sheetView>
  </sheetViews>
  <sheetFormatPr defaultColWidth="10.8515625" defaultRowHeight="12.75"/>
  <cols>
    <col min="1" max="1" width="39.7109375" style="65" customWidth="1"/>
    <col min="2" max="23" width="10.8515625" style="65" customWidth="1"/>
    <col min="24" max="24" width="10.8515625" style="1068" customWidth="1"/>
    <col min="25" max="25" width="10.8515625" style="753" customWidth="1"/>
    <col min="26" max="16384" width="10.8515625" style="65" customWidth="1"/>
  </cols>
  <sheetData>
    <row r="1" spans="1:25" ht="12.75">
      <c r="A1" s="1171" t="s">
        <v>695</v>
      </c>
      <c r="B1" s="1171"/>
      <c r="C1" s="1171"/>
      <c r="D1" s="1171"/>
      <c r="E1" s="1171"/>
      <c r="F1" s="1171"/>
      <c r="G1" s="1171"/>
      <c r="H1" s="1171"/>
      <c r="I1" s="1171"/>
      <c r="J1" s="1171"/>
      <c r="K1" s="1171"/>
      <c r="L1" s="1171"/>
      <c r="M1" s="1171"/>
      <c r="N1" s="1171"/>
      <c r="O1" s="1171"/>
      <c r="P1" s="1171"/>
      <c r="Q1" s="1171"/>
      <c r="R1" s="1171"/>
      <c r="S1" s="1171"/>
      <c r="T1" s="1171"/>
      <c r="U1" s="1171"/>
      <c r="V1" s="1171"/>
      <c r="W1" s="1171"/>
      <c r="X1" s="1171"/>
      <c r="Y1" s="1123"/>
    </row>
    <row r="3" spans="1:25" ht="18" customHeight="1">
      <c r="A3" s="1116" t="s">
        <v>212</v>
      </c>
      <c r="B3" s="1116"/>
      <c r="C3" s="1116"/>
      <c r="D3" s="1116"/>
      <c r="E3" s="1116"/>
      <c r="F3" s="1116"/>
      <c r="G3" s="1116"/>
      <c r="H3" s="1116"/>
      <c r="I3" s="1116"/>
      <c r="J3" s="1116"/>
      <c r="K3" s="1116"/>
      <c r="L3" s="1116"/>
      <c r="M3" s="1116"/>
      <c r="N3" s="1116"/>
      <c r="O3" s="1116"/>
      <c r="P3" s="1116"/>
      <c r="Q3" s="1116"/>
      <c r="R3" s="1116"/>
      <c r="S3" s="1116"/>
      <c r="T3" s="1116"/>
      <c r="U3" s="1116"/>
      <c r="V3" s="1116"/>
      <c r="W3" s="1116"/>
      <c r="X3" s="1116"/>
      <c r="Y3" s="1116"/>
    </row>
    <row r="4" spans="1:25" ht="18" customHeight="1">
      <c r="A4" s="1116" t="s">
        <v>272</v>
      </c>
      <c r="B4" s="1116"/>
      <c r="C4" s="1116"/>
      <c r="D4" s="1116"/>
      <c r="E4" s="1116"/>
      <c r="F4" s="1116"/>
      <c r="G4" s="1116"/>
      <c r="H4" s="1116"/>
      <c r="I4" s="1116"/>
      <c r="J4" s="1116"/>
      <c r="K4" s="1116"/>
      <c r="L4" s="1116"/>
      <c r="M4" s="1116"/>
      <c r="N4" s="1116"/>
      <c r="O4" s="1116"/>
      <c r="P4" s="1116"/>
      <c r="Q4" s="1116"/>
      <c r="R4" s="1116"/>
      <c r="S4" s="1116"/>
      <c r="T4" s="1116"/>
      <c r="U4" s="1116"/>
      <c r="V4" s="1116"/>
      <c r="W4" s="1116"/>
      <c r="X4" s="1116"/>
      <c r="Y4" s="1116"/>
    </row>
    <row r="5" spans="1:25" ht="18" customHeight="1">
      <c r="A5" s="1117" t="s">
        <v>778</v>
      </c>
      <c r="B5" s="1117"/>
      <c r="C5" s="1117"/>
      <c r="D5" s="1117"/>
      <c r="E5" s="1117"/>
      <c r="F5" s="1117"/>
      <c r="G5" s="1117"/>
      <c r="H5" s="1117"/>
      <c r="I5" s="1117"/>
      <c r="J5" s="1117"/>
      <c r="K5" s="1117"/>
      <c r="L5" s="1117"/>
      <c r="M5" s="1117"/>
      <c r="N5" s="1117"/>
      <c r="O5" s="1117"/>
      <c r="P5" s="1117"/>
      <c r="Q5" s="1117"/>
      <c r="R5" s="1117"/>
      <c r="S5" s="1117"/>
      <c r="T5" s="1117"/>
      <c r="U5" s="1117"/>
      <c r="V5" s="1117"/>
      <c r="W5" s="1117"/>
      <c r="X5" s="1117"/>
      <c r="Y5" s="1117"/>
    </row>
    <row r="6" spans="1:25" ht="18" customHeight="1">
      <c r="A6" s="688"/>
      <c r="B6" s="688"/>
      <c r="C6" s="688"/>
      <c r="D6" s="688"/>
      <c r="E6" s="688"/>
      <c r="F6" s="688"/>
      <c r="G6" s="688"/>
      <c r="H6" s="688"/>
      <c r="I6" s="688"/>
      <c r="J6" s="688"/>
      <c r="K6" s="688"/>
      <c r="L6" s="688"/>
      <c r="M6" s="688"/>
      <c r="N6" s="688"/>
      <c r="O6" s="688"/>
      <c r="P6" s="688"/>
      <c r="Q6" s="323"/>
      <c r="R6" s="323"/>
      <c r="S6" s="688"/>
      <c r="T6" s="688"/>
      <c r="U6" s="688"/>
      <c r="V6" s="688"/>
      <c r="W6" s="688"/>
      <c r="X6" s="688"/>
      <c r="Y6" s="868"/>
    </row>
    <row r="7" spans="1:25" ht="16.5" customHeight="1">
      <c r="A7" s="689"/>
      <c r="B7" s="246">
        <v>2000</v>
      </c>
      <c r="C7" s="246">
        <v>2001</v>
      </c>
      <c r="D7" s="246">
        <v>2002</v>
      </c>
      <c r="E7" s="246">
        <v>2003</v>
      </c>
      <c r="F7" s="246">
        <v>2004</v>
      </c>
      <c r="G7" s="246">
        <v>2005</v>
      </c>
      <c r="H7" s="246">
        <v>2006</v>
      </c>
      <c r="I7" s="246">
        <v>2007</v>
      </c>
      <c r="J7" s="246">
        <v>2008</v>
      </c>
      <c r="K7" s="246">
        <v>2009</v>
      </c>
      <c r="L7" s="246">
        <v>2010</v>
      </c>
      <c r="M7" s="246">
        <v>2011</v>
      </c>
      <c r="N7" s="246">
        <v>2012</v>
      </c>
      <c r="O7" s="246">
        <v>2013</v>
      </c>
      <c r="P7" s="246">
        <v>2014</v>
      </c>
      <c r="Q7" s="246">
        <v>2015</v>
      </c>
      <c r="R7" s="246">
        <v>2016</v>
      </c>
      <c r="S7" s="246">
        <v>2017</v>
      </c>
      <c r="T7" s="246">
        <v>2018</v>
      </c>
      <c r="U7" s="246">
        <v>2019</v>
      </c>
      <c r="V7" s="246">
        <v>2020</v>
      </c>
      <c r="W7" s="246">
        <v>2021</v>
      </c>
      <c r="X7" s="246">
        <v>2022</v>
      </c>
      <c r="Y7" s="869">
        <v>2023</v>
      </c>
    </row>
    <row r="8" spans="1:25" ht="16.5" customHeight="1">
      <c r="A8" s="247" t="s">
        <v>273</v>
      </c>
      <c r="B8" s="248"/>
      <c r="C8" s="248"/>
      <c r="D8" s="248"/>
      <c r="E8" s="248"/>
      <c r="F8" s="248"/>
      <c r="G8" s="248"/>
      <c r="H8" s="248"/>
      <c r="I8" s="248"/>
      <c r="J8" s="248"/>
      <c r="K8" s="248"/>
      <c r="L8" s="248"/>
      <c r="M8" s="248"/>
      <c r="N8" s="248"/>
      <c r="O8" s="248"/>
      <c r="P8" s="248"/>
      <c r="Q8" s="248"/>
      <c r="R8" s="248"/>
      <c r="S8" s="248"/>
      <c r="T8" s="248"/>
      <c r="U8" s="248"/>
      <c r="V8" s="248"/>
      <c r="W8" s="248"/>
      <c r="X8" s="248"/>
      <c r="Y8" s="870"/>
    </row>
    <row r="9" spans="1:25" ht="16.5" customHeight="1">
      <c r="A9" s="249" t="s">
        <v>274</v>
      </c>
      <c r="B9" s="690">
        <v>697</v>
      </c>
      <c r="C9" s="690">
        <v>680</v>
      </c>
      <c r="D9" s="690">
        <v>706</v>
      </c>
      <c r="E9" s="690">
        <v>812</v>
      </c>
      <c r="F9" s="690">
        <v>1222</v>
      </c>
      <c r="G9" s="690">
        <v>1052</v>
      </c>
      <c r="H9" s="690">
        <v>1173</v>
      </c>
      <c r="I9" s="594">
        <v>1267</v>
      </c>
      <c r="J9" s="594">
        <v>1428</v>
      </c>
      <c r="K9" s="594">
        <v>1477</v>
      </c>
      <c r="L9" s="594">
        <v>1457</v>
      </c>
      <c r="M9" s="596">
        <v>1446</v>
      </c>
      <c r="N9" s="596">
        <v>1498</v>
      </c>
      <c r="O9" s="596">
        <v>1566</v>
      </c>
      <c r="P9" s="596">
        <v>1601</v>
      </c>
      <c r="Q9" s="596">
        <v>1639</v>
      </c>
      <c r="R9" s="596">
        <v>1753</v>
      </c>
      <c r="S9" s="596">
        <v>1846</v>
      </c>
      <c r="T9" s="596">
        <v>1830</v>
      </c>
      <c r="U9" s="596">
        <v>1866</v>
      </c>
      <c r="V9" s="596">
        <v>2078</v>
      </c>
      <c r="W9" s="596">
        <v>2100</v>
      </c>
      <c r="X9" s="1075">
        <v>1834</v>
      </c>
      <c r="Y9" s="844">
        <v>1839</v>
      </c>
    </row>
    <row r="10" spans="1:25" ht="16.5" customHeight="1">
      <c r="A10" s="249" t="s">
        <v>275</v>
      </c>
      <c r="B10" s="690">
        <v>4222</v>
      </c>
      <c r="C10" s="690">
        <v>4136</v>
      </c>
      <c r="D10" s="690">
        <v>3599</v>
      </c>
      <c r="E10" s="690">
        <v>3835</v>
      </c>
      <c r="F10" s="690">
        <v>5666</v>
      </c>
      <c r="G10" s="690">
        <v>4305</v>
      </c>
      <c r="H10" s="690">
        <v>4378</v>
      </c>
      <c r="I10" s="594">
        <v>4603</v>
      </c>
      <c r="J10" s="594">
        <v>5885</v>
      </c>
      <c r="K10" s="594">
        <v>8607</v>
      </c>
      <c r="L10" s="594">
        <v>8000</v>
      </c>
      <c r="M10" s="596">
        <v>6797</v>
      </c>
      <c r="N10" s="596">
        <v>7188</v>
      </c>
      <c r="O10" s="596">
        <v>7352</v>
      </c>
      <c r="P10" s="596">
        <v>7756</v>
      </c>
      <c r="Q10" s="596">
        <v>8110</v>
      </c>
      <c r="R10" s="596">
        <v>8710</v>
      </c>
      <c r="S10" s="596">
        <v>9191</v>
      </c>
      <c r="T10" s="596">
        <v>9697</v>
      </c>
      <c r="U10" s="596">
        <v>9850</v>
      </c>
      <c r="V10" s="596">
        <v>10623</v>
      </c>
      <c r="W10" s="596">
        <v>10413</v>
      </c>
      <c r="X10" s="1075">
        <v>9067</v>
      </c>
      <c r="Y10" s="844">
        <v>8213</v>
      </c>
    </row>
    <row r="11" spans="1:25" ht="16.5" customHeight="1">
      <c r="A11" s="249" t="s">
        <v>276</v>
      </c>
      <c r="B11" s="690">
        <v>1752</v>
      </c>
      <c r="C11" s="690">
        <v>2257</v>
      </c>
      <c r="D11" s="690">
        <v>2391</v>
      </c>
      <c r="E11" s="690">
        <v>3123</v>
      </c>
      <c r="F11" s="690">
        <v>4376</v>
      </c>
      <c r="G11" s="690">
        <v>3929</v>
      </c>
      <c r="H11" s="690">
        <v>4282</v>
      </c>
      <c r="I11" s="594">
        <v>2807</v>
      </c>
      <c r="J11" s="594">
        <v>5387</v>
      </c>
      <c r="K11" s="594">
        <v>5720</v>
      </c>
      <c r="L11" s="594">
        <v>5932</v>
      </c>
      <c r="M11" s="596">
        <v>6837</v>
      </c>
      <c r="N11" s="596">
        <v>7183</v>
      </c>
      <c r="O11" s="596">
        <v>7949</v>
      </c>
      <c r="P11" s="596">
        <v>8125</v>
      </c>
      <c r="Q11" s="596">
        <v>8414</v>
      </c>
      <c r="R11" s="596">
        <v>8939</v>
      </c>
      <c r="S11" s="596">
        <v>9349</v>
      </c>
      <c r="T11" s="596">
        <v>10027</v>
      </c>
      <c r="U11" s="596">
        <v>12166</v>
      </c>
      <c r="V11" s="596">
        <v>8972</v>
      </c>
      <c r="W11" s="596">
        <v>10289</v>
      </c>
      <c r="X11" s="1075">
        <v>9568</v>
      </c>
      <c r="Y11" s="844">
        <v>9079</v>
      </c>
    </row>
    <row r="12" spans="1:25" ht="16.5" customHeight="1">
      <c r="A12" s="250" t="s">
        <v>277</v>
      </c>
      <c r="B12" s="691" t="s">
        <v>90</v>
      </c>
      <c r="C12" s="691" t="s">
        <v>90</v>
      </c>
      <c r="D12" s="691" t="s">
        <v>90</v>
      </c>
      <c r="E12" s="691" t="s">
        <v>90</v>
      </c>
      <c r="F12" s="691" t="s">
        <v>90</v>
      </c>
      <c r="G12" s="691" t="s">
        <v>90</v>
      </c>
      <c r="H12" s="691" t="s">
        <v>90</v>
      </c>
      <c r="I12" s="595">
        <v>1615</v>
      </c>
      <c r="J12" s="595">
        <v>1885</v>
      </c>
      <c r="K12" s="595">
        <v>1976</v>
      </c>
      <c r="L12" s="595">
        <v>1756</v>
      </c>
      <c r="M12" s="596">
        <v>1474</v>
      </c>
      <c r="N12" s="251">
        <v>1785</v>
      </c>
      <c r="O12" s="251">
        <v>2113</v>
      </c>
      <c r="P12" s="251">
        <v>2130</v>
      </c>
      <c r="Q12" s="251">
        <v>2457</v>
      </c>
      <c r="R12" s="251">
        <v>2501</v>
      </c>
      <c r="S12" s="692">
        <v>1335</v>
      </c>
      <c r="T12" s="692">
        <v>3351</v>
      </c>
      <c r="U12" s="692">
        <v>3061</v>
      </c>
      <c r="V12" s="692">
        <v>2195</v>
      </c>
      <c r="W12" s="692">
        <v>2875</v>
      </c>
      <c r="X12" s="1092">
        <v>2768</v>
      </c>
      <c r="Y12" s="871">
        <v>2406</v>
      </c>
    </row>
    <row r="13" spans="1:25" s="408" customFormat="1" ht="16.5" customHeight="1">
      <c r="A13" s="249" t="s">
        <v>214</v>
      </c>
      <c r="B13" s="693">
        <v>94.6</v>
      </c>
      <c r="C13" s="693">
        <v>69.1</v>
      </c>
      <c r="D13" s="693">
        <v>90.8</v>
      </c>
      <c r="E13" s="693">
        <v>100.8</v>
      </c>
      <c r="F13" s="693">
        <v>143.2</v>
      </c>
      <c r="G13" s="693">
        <v>151.2</v>
      </c>
      <c r="H13" s="693">
        <v>173.2</v>
      </c>
      <c r="I13" s="597">
        <v>205.7</v>
      </c>
      <c r="J13" s="597">
        <v>223.1</v>
      </c>
      <c r="K13" s="597">
        <v>239.2</v>
      </c>
      <c r="L13" s="597">
        <v>238.9</v>
      </c>
      <c r="M13" s="694">
        <v>235.4</v>
      </c>
      <c r="N13" s="694">
        <v>256.6</v>
      </c>
      <c r="O13" s="694">
        <v>297.1</v>
      </c>
      <c r="P13" s="694">
        <v>300</v>
      </c>
      <c r="Q13" s="694">
        <v>310</v>
      </c>
      <c r="R13" s="694">
        <v>366</v>
      </c>
      <c r="S13" s="694">
        <v>381.1</v>
      </c>
      <c r="T13" s="694">
        <v>386.3</v>
      </c>
      <c r="U13" s="694">
        <v>414.4</v>
      </c>
      <c r="V13" s="694">
        <v>445.06</v>
      </c>
      <c r="W13" s="694">
        <v>395</v>
      </c>
      <c r="X13" s="1093">
        <v>409.7</v>
      </c>
      <c r="Y13" s="872">
        <v>419.7</v>
      </c>
    </row>
    <row r="14" spans="1:25" s="408" customFormat="1" ht="16.5" customHeight="1">
      <c r="A14" s="252" t="s">
        <v>278</v>
      </c>
      <c r="B14" s="695"/>
      <c r="C14" s="695"/>
      <c r="D14" s="695"/>
      <c r="E14" s="695"/>
      <c r="F14" s="695"/>
      <c r="G14" s="695"/>
      <c r="H14" s="695"/>
      <c r="I14" s="628"/>
      <c r="J14" s="628"/>
      <c r="K14" s="628"/>
      <c r="L14" s="628"/>
      <c r="M14" s="631"/>
      <c r="N14" s="696"/>
      <c r="O14" s="696"/>
      <c r="P14" s="696"/>
      <c r="Q14" s="696"/>
      <c r="R14" s="696"/>
      <c r="S14" s="696"/>
      <c r="T14" s="696"/>
      <c r="U14" s="696"/>
      <c r="V14" s="696"/>
      <c r="W14" s="696"/>
      <c r="X14" s="696"/>
      <c r="Y14" s="873"/>
    </row>
    <row r="15" spans="1:25" s="408" customFormat="1" ht="16.5" customHeight="1">
      <c r="A15" s="249" t="s">
        <v>274</v>
      </c>
      <c r="B15" s="251" t="s">
        <v>90</v>
      </c>
      <c r="C15" s="251" t="s">
        <v>90</v>
      </c>
      <c r="D15" s="251" t="s">
        <v>90</v>
      </c>
      <c r="E15" s="251" t="s">
        <v>90</v>
      </c>
      <c r="F15" s="251" t="s">
        <v>90</v>
      </c>
      <c r="G15" s="251" t="s">
        <v>90</v>
      </c>
      <c r="H15" s="251" t="s">
        <v>90</v>
      </c>
      <c r="I15" s="251" t="s">
        <v>90</v>
      </c>
      <c r="J15" s="251" t="s">
        <v>90</v>
      </c>
      <c r="K15" s="251" t="s">
        <v>90</v>
      </c>
      <c r="L15" s="251" t="s">
        <v>90</v>
      </c>
      <c r="M15" s="653">
        <v>84</v>
      </c>
      <c r="N15" s="690" t="s">
        <v>90</v>
      </c>
      <c r="O15" s="690" t="s">
        <v>90</v>
      </c>
      <c r="P15" s="690" t="s">
        <v>90</v>
      </c>
      <c r="Q15" s="324" t="s">
        <v>90</v>
      </c>
      <c r="R15" s="324"/>
      <c r="S15" s="690" t="s">
        <v>90</v>
      </c>
      <c r="T15" s="690" t="s">
        <v>90</v>
      </c>
      <c r="U15" s="690" t="s">
        <v>90</v>
      </c>
      <c r="V15" s="690" t="s">
        <v>90</v>
      </c>
      <c r="W15" s="690" t="s">
        <v>90</v>
      </c>
      <c r="X15" s="1094" t="s">
        <v>90</v>
      </c>
      <c r="Y15" s="874" t="s">
        <v>90</v>
      </c>
    </row>
    <row r="16" spans="1:25" s="408" customFormat="1" ht="16.5" customHeight="1">
      <c r="A16" s="249" t="s">
        <v>275</v>
      </c>
      <c r="B16" s="251" t="s">
        <v>90</v>
      </c>
      <c r="C16" s="251" t="s">
        <v>90</v>
      </c>
      <c r="D16" s="251" t="s">
        <v>90</v>
      </c>
      <c r="E16" s="251" t="s">
        <v>90</v>
      </c>
      <c r="F16" s="251" t="s">
        <v>90</v>
      </c>
      <c r="G16" s="251" t="s">
        <v>90</v>
      </c>
      <c r="H16" s="251" t="s">
        <v>90</v>
      </c>
      <c r="I16" s="251" t="s">
        <v>90</v>
      </c>
      <c r="J16" s="251" t="s">
        <v>90</v>
      </c>
      <c r="K16" s="251" t="s">
        <v>90</v>
      </c>
      <c r="L16" s="251" t="s">
        <v>90</v>
      </c>
      <c r="M16" s="596">
        <v>84</v>
      </c>
      <c r="N16" s="690" t="s">
        <v>90</v>
      </c>
      <c r="O16" s="690" t="s">
        <v>90</v>
      </c>
      <c r="P16" s="690" t="s">
        <v>90</v>
      </c>
      <c r="Q16" s="324" t="s">
        <v>90</v>
      </c>
      <c r="R16" s="324"/>
      <c r="S16" s="690" t="s">
        <v>90</v>
      </c>
      <c r="T16" s="690" t="s">
        <v>90</v>
      </c>
      <c r="U16" s="690" t="s">
        <v>90</v>
      </c>
      <c r="V16" s="690" t="s">
        <v>90</v>
      </c>
      <c r="W16" s="690" t="s">
        <v>90</v>
      </c>
      <c r="X16" s="1094" t="s">
        <v>90</v>
      </c>
      <c r="Y16" s="874" t="s">
        <v>90</v>
      </c>
    </row>
    <row r="17" spans="1:25" s="408" customFormat="1" ht="16.5" customHeight="1">
      <c r="A17" s="249" t="s">
        <v>276</v>
      </c>
      <c r="B17" s="251" t="s">
        <v>90</v>
      </c>
      <c r="C17" s="251" t="s">
        <v>90</v>
      </c>
      <c r="D17" s="251" t="s">
        <v>90</v>
      </c>
      <c r="E17" s="251" t="s">
        <v>90</v>
      </c>
      <c r="F17" s="251" t="s">
        <v>90</v>
      </c>
      <c r="G17" s="251" t="s">
        <v>90</v>
      </c>
      <c r="H17" s="251" t="s">
        <v>90</v>
      </c>
      <c r="I17" s="251" t="s">
        <v>90</v>
      </c>
      <c r="J17" s="251" t="s">
        <v>90</v>
      </c>
      <c r="K17" s="251" t="s">
        <v>90</v>
      </c>
      <c r="L17" s="251" t="s">
        <v>90</v>
      </c>
      <c r="M17" s="596">
        <v>186</v>
      </c>
      <c r="N17" s="690" t="s">
        <v>90</v>
      </c>
      <c r="O17" s="690" t="s">
        <v>90</v>
      </c>
      <c r="P17" s="690" t="s">
        <v>90</v>
      </c>
      <c r="Q17" s="324" t="s">
        <v>90</v>
      </c>
      <c r="R17" s="324"/>
      <c r="S17" s="690" t="s">
        <v>90</v>
      </c>
      <c r="T17" s="690" t="s">
        <v>90</v>
      </c>
      <c r="U17" s="690" t="s">
        <v>90</v>
      </c>
      <c r="V17" s="690" t="s">
        <v>90</v>
      </c>
      <c r="W17" s="690" t="s">
        <v>90</v>
      </c>
      <c r="X17" s="1094" t="s">
        <v>90</v>
      </c>
      <c r="Y17" s="874" t="s">
        <v>90</v>
      </c>
    </row>
    <row r="18" spans="1:25" s="408" customFormat="1" ht="16.5" customHeight="1">
      <c r="A18" s="250" t="s">
        <v>277</v>
      </c>
      <c r="B18" s="251" t="s">
        <v>90</v>
      </c>
      <c r="C18" s="251" t="s">
        <v>90</v>
      </c>
      <c r="D18" s="251" t="s">
        <v>90</v>
      </c>
      <c r="E18" s="251" t="s">
        <v>90</v>
      </c>
      <c r="F18" s="251" t="s">
        <v>90</v>
      </c>
      <c r="G18" s="251" t="s">
        <v>90</v>
      </c>
      <c r="H18" s="251" t="s">
        <v>90</v>
      </c>
      <c r="I18" s="251" t="s">
        <v>90</v>
      </c>
      <c r="J18" s="251" t="s">
        <v>90</v>
      </c>
      <c r="K18" s="251" t="s">
        <v>90</v>
      </c>
      <c r="L18" s="251" t="s">
        <v>90</v>
      </c>
      <c r="M18" s="596">
        <v>40</v>
      </c>
      <c r="N18" s="697" t="s">
        <v>90</v>
      </c>
      <c r="O18" s="697" t="s">
        <v>90</v>
      </c>
      <c r="P18" s="697" t="s">
        <v>90</v>
      </c>
      <c r="Q18" s="698" t="s">
        <v>90</v>
      </c>
      <c r="R18" s="698"/>
      <c r="S18" s="697" t="s">
        <v>90</v>
      </c>
      <c r="T18" s="697" t="s">
        <v>90</v>
      </c>
      <c r="U18" s="697" t="s">
        <v>90</v>
      </c>
      <c r="V18" s="697" t="s">
        <v>90</v>
      </c>
      <c r="W18" s="697" t="s">
        <v>90</v>
      </c>
      <c r="X18" s="1095" t="s">
        <v>90</v>
      </c>
      <c r="Y18" s="875" t="s">
        <v>90</v>
      </c>
    </row>
    <row r="19" spans="1:25" s="408" customFormat="1" ht="16.5" customHeight="1">
      <c r="A19" s="249" t="s">
        <v>214</v>
      </c>
      <c r="B19" s="251" t="s">
        <v>90</v>
      </c>
      <c r="C19" s="251" t="s">
        <v>90</v>
      </c>
      <c r="D19" s="251" t="s">
        <v>90</v>
      </c>
      <c r="E19" s="251" t="s">
        <v>90</v>
      </c>
      <c r="F19" s="251" t="s">
        <v>90</v>
      </c>
      <c r="G19" s="251" t="s">
        <v>90</v>
      </c>
      <c r="H19" s="251" t="s">
        <v>90</v>
      </c>
      <c r="I19" s="251" t="s">
        <v>90</v>
      </c>
      <c r="J19" s="251" t="s">
        <v>90</v>
      </c>
      <c r="K19" s="251" t="s">
        <v>90</v>
      </c>
      <c r="L19" s="251" t="s">
        <v>90</v>
      </c>
      <c r="M19" s="653">
        <v>10.8</v>
      </c>
      <c r="N19" s="697" t="s">
        <v>90</v>
      </c>
      <c r="O19" s="697" t="s">
        <v>90</v>
      </c>
      <c r="P19" s="697" t="s">
        <v>90</v>
      </c>
      <c r="Q19" s="698" t="s">
        <v>90</v>
      </c>
      <c r="R19" s="698"/>
      <c r="S19" s="697" t="s">
        <v>90</v>
      </c>
      <c r="T19" s="697" t="s">
        <v>90</v>
      </c>
      <c r="U19" s="697" t="s">
        <v>90</v>
      </c>
      <c r="V19" s="697" t="s">
        <v>90</v>
      </c>
      <c r="W19" s="697" t="s">
        <v>90</v>
      </c>
      <c r="X19" s="1095" t="s">
        <v>90</v>
      </c>
      <c r="Y19" s="875" t="s">
        <v>90</v>
      </c>
    </row>
    <row r="20" spans="1:25" s="408" customFormat="1" ht="16.5" customHeight="1">
      <c r="A20" s="252" t="s">
        <v>279</v>
      </c>
      <c r="B20" s="695"/>
      <c r="C20" s="695"/>
      <c r="D20" s="695"/>
      <c r="E20" s="695"/>
      <c r="F20" s="695"/>
      <c r="G20" s="695"/>
      <c r="H20" s="695"/>
      <c r="I20" s="628"/>
      <c r="J20" s="628"/>
      <c r="K20" s="628"/>
      <c r="L20" s="628"/>
      <c r="M20" s="631"/>
      <c r="N20" s="631"/>
      <c r="O20" s="631"/>
      <c r="P20" s="631"/>
      <c r="Q20" s="631"/>
      <c r="R20" s="631"/>
      <c r="S20" s="631"/>
      <c r="T20" s="631"/>
      <c r="U20" s="631"/>
      <c r="V20" s="631"/>
      <c r="W20" s="631"/>
      <c r="X20" s="1082"/>
      <c r="Y20" s="857"/>
    </row>
    <row r="21" spans="1:25" s="408" customFormat="1" ht="16.5" customHeight="1">
      <c r="A21" s="249" t="s">
        <v>274</v>
      </c>
      <c r="B21" s="690">
        <v>200</v>
      </c>
      <c r="C21" s="690">
        <v>120</v>
      </c>
      <c r="D21" s="690">
        <v>59</v>
      </c>
      <c r="E21" s="690">
        <v>203</v>
      </c>
      <c r="F21" s="690">
        <v>271</v>
      </c>
      <c r="G21" s="690">
        <v>356</v>
      </c>
      <c r="H21" s="690">
        <v>352</v>
      </c>
      <c r="I21" s="594">
        <v>288</v>
      </c>
      <c r="J21" s="594">
        <v>329</v>
      </c>
      <c r="K21" s="594">
        <v>392</v>
      </c>
      <c r="L21" s="672">
        <v>390</v>
      </c>
      <c r="M21" s="653">
        <v>392</v>
      </c>
      <c r="N21" s="653">
        <v>385</v>
      </c>
      <c r="O21" s="653">
        <v>350</v>
      </c>
      <c r="P21" s="653">
        <v>347</v>
      </c>
      <c r="Q21" s="653">
        <v>420</v>
      </c>
      <c r="R21" s="653">
        <v>503</v>
      </c>
      <c r="S21" s="653">
        <v>489</v>
      </c>
      <c r="T21" s="653">
        <v>505</v>
      </c>
      <c r="U21" s="653">
        <v>559</v>
      </c>
      <c r="V21" s="653">
        <v>534</v>
      </c>
      <c r="W21" s="653">
        <v>414</v>
      </c>
      <c r="X21" s="1087">
        <v>330</v>
      </c>
      <c r="Y21" s="876">
        <v>375</v>
      </c>
    </row>
    <row r="22" spans="1:25" s="408" customFormat="1" ht="16.5" customHeight="1">
      <c r="A22" s="249" t="s">
        <v>275</v>
      </c>
      <c r="B22" s="690">
        <v>1310</v>
      </c>
      <c r="C22" s="690">
        <v>840</v>
      </c>
      <c r="D22" s="690">
        <v>356</v>
      </c>
      <c r="E22" s="690">
        <v>1340</v>
      </c>
      <c r="F22" s="690">
        <v>2172</v>
      </c>
      <c r="G22" s="690">
        <v>2140</v>
      </c>
      <c r="H22" s="690">
        <v>2062</v>
      </c>
      <c r="I22" s="594">
        <v>2213</v>
      </c>
      <c r="J22" s="594">
        <v>1921</v>
      </c>
      <c r="K22" s="594">
        <v>2363</v>
      </c>
      <c r="L22" s="672">
        <v>2229</v>
      </c>
      <c r="M22" s="596">
        <v>2321</v>
      </c>
      <c r="N22" s="596">
        <v>2281</v>
      </c>
      <c r="O22" s="596">
        <v>2005</v>
      </c>
      <c r="P22" s="596">
        <v>2318</v>
      </c>
      <c r="Q22" s="596">
        <v>2198</v>
      </c>
      <c r="R22" s="596">
        <v>2912</v>
      </c>
      <c r="S22" s="596">
        <v>2993</v>
      </c>
      <c r="T22" s="596">
        <v>3041</v>
      </c>
      <c r="U22" s="596">
        <v>3307</v>
      </c>
      <c r="V22" s="596">
        <v>2764</v>
      </c>
      <c r="W22" s="596">
        <v>2424</v>
      </c>
      <c r="X22" s="1075">
        <v>1867</v>
      </c>
      <c r="Y22" s="844">
        <v>1993</v>
      </c>
    </row>
    <row r="23" spans="1:25" s="408" customFormat="1" ht="16.5" customHeight="1">
      <c r="A23" s="249" t="s">
        <v>276</v>
      </c>
      <c r="B23" s="251" t="s">
        <v>90</v>
      </c>
      <c r="C23" s="251" t="s">
        <v>90</v>
      </c>
      <c r="D23" s="251" t="s">
        <v>90</v>
      </c>
      <c r="E23" s="251" t="s">
        <v>90</v>
      </c>
      <c r="F23" s="251" t="s">
        <v>90</v>
      </c>
      <c r="G23" s="251" t="s">
        <v>90</v>
      </c>
      <c r="H23" s="251" t="s">
        <v>90</v>
      </c>
      <c r="I23" s="251" t="s">
        <v>90</v>
      </c>
      <c r="J23" s="251" t="s">
        <v>90</v>
      </c>
      <c r="K23" s="251" t="s">
        <v>90</v>
      </c>
      <c r="L23" s="251" t="s">
        <v>90</v>
      </c>
      <c r="M23" s="596">
        <v>877</v>
      </c>
      <c r="N23" s="596">
        <v>1014</v>
      </c>
      <c r="O23" s="596">
        <v>957</v>
      </c>
      <c r="P23" s="596">
        <v>500</v>
      </c>
      <c r="Q23" s="596">
        <v>1365</v>
      </c>
      <c r="R23" s="596">
        <v>1657</v>
      </c>
      <c r="S23" s="596">
        <v>1798</v>
      </c>
      <c r="T23" s="596">
        <v>1758</v>
      </c>
      <c r="U23" s="596">
        <v>1829</v>
      </c>
      <c r="V23" s="596">
        <v>1785</v>
      </c>
      <c r="W23" s="596">
        <v>1439</v>
      </c>
      <c r="X23" s="1075">
        <v>1322</v>
      </c>
      <c r="Y23" s="844">
        <v>1573</v>
      </c>
    </row>
    <row r="24" spans="1:25" s="408" customFormat="1" ht="16.5" customHeight="1">
      <c r="A24" s="250" t="s">
        <v>277</v>
      </c>
      <c r="B24" s="251" t="s">
        <v>90</v>
      </c>
      <c r="C24" s="251" t="s">
        <v>90</v>
      </c>
      <c r="D24" s="251" t="s">
        <v>90</v>
      </c>
      <c r="E24" s="251" t="s">
        <v>90</v>
      </c>
      <c r="F24" s="251" t="s">
        <v>90</v>
      </c>
      <c r="G24" s="251" t="s">
        <v>90</v>
      </c>
      <c r="H24" s="251" t="s">
        <v>90</v>
      </c>
      <c r="I24" s="251" t="s">
        <v>90</v>
      </c>
      <c r="J24" s="251" t="s">
        <v>90</v>
      </c>
      <c r="K24" s="251" t="s">
        <v>90</v>
      </c>
      <c r="L24" s="672">
        <v>250</v>
      </c>
      <c r="M24" s="596">
        <v>389</v>
      </c>
      <c r="N24" s="596">
        <v>430</v>
      </c>
      <c r="O24" s="596">
        <v>380</v>
      </c>
      <c r="P24" s="596">
        <v>250</v>
      </c>
      <c r="Q24" s="596">
        <v>559</v>
      </c>
      <c r="R24" s="596">
        <v>675</v>
      </c>
      <c r="S24" s="596">
        <v>724</v>
      </c>
      <c r="T24" s="596">
        <v>989</v>
      </c>
      <c r="U24" s="596">
        <v>779</v>
      </c>
      <c r="V24" s="596">
        <v>862</v>
      </c>
      <c r="W24" s="596">
        <v>755</v>
      </c>
      <c r="X24" s="1075">
        <v>738</v>
      </c>
      <c r="Y24" s="844">
        <v>922</v>
      </c>
    </row>
    <row r="25" spans="1:25" s="408" customFormat="1" ht="16.5" customHeight="1">
      <c r="A25" s="249" t="s">
        <v>214</v>
      </c>
      <c r="B25" s="699">
        <v>34.9</v>
      </c>
      <c r="C25" s="699">
        <v>15.3</v>
      </c>
      <c r="D25" s="699">
        <v>8.3</v>
      </c>
      <c r="E25" s="700">
        <v>20</v>
      </c>
      <c r="F25" s="693">
        <v>26.5</v>
      </c>
      <c r="G25" s="693">
        <v>34.6</v>
      </c>
      <c r="H25" s="693">
        <v>34.7</v>
      </c>
      <c r="I25" s="597">
        <v>34.6</v>
      </c>
      <c r="J25" s="597">
        <v>34.9</v>
      </c>
      <c r="K25" s="597">
        <v>35</v>
      </c>
      <c r="L25" s="701">
        <v>34</v>
      </c>
      <c r="M25" s="653">
        <v>40.9</v>
      </c>
      <c r="N25" s="694">
        <v>40</v>
      </c>
      <c r="O25" s="694">
        <v>38</v>
      </c>
      <c r="P25" s="694">
        <v>39.7</v>
      </c>
      <c r="Q25" s="694">
        <v>54</v>
      </c>
      <c r="R25" s="694">
        <v>58.9</v>
      </c>
      <c r="S25" s="694">
        <v>64.9</v>
      </c>
      <c r="T25" s="694">
        <v>68.7</v>
      </c>
      <c r="U25" s="694">
        <v>62.2</v>
      </c>
      <c r="V25" s="694">
        <v>68.2</v>
      </c>
      <c r="W25" s="694">
        <v>46.4</v>
      </c>
      <c r="X25" s="1093">
        <v>41.6</v>
      </c>
      <c r="Y25" s="872">
        <v>54.3</v>
      </c>
    </row>
    <row r="26" spans="1:25" s="408" customFormat="1" ht="16.5" customHeight="1">
      <c r="A26" s="252" t="s">
        <v>280</v>
      </c>
      <c r="B26" s="695"/>
      <c r="C26" s="695"/>
      <c r="D26" s="695"/>
      <c r="E26" s="695"/>
      <c r="F26" s="695"/>
      <c r="G26" s="695"/>
      <c r="H26" s="695"/>
      <c r="I26" s="628"/>
      <c r="J26" s="628"/>
      <c r="K26" s="628"/>
      <c r="L26" s="702"/>
      <c r="M26" s="631"/>
      <c r="N26" s="631"/>
      <c r="O26" s="631"/>
      <c r="P26" s="631"/>
      <c r="Q26" s="631"/>
      <c r="R26" s="631"/>
      <c r="S26" s="631"/>
      <c r="T26" s="631"/>
      <c r="U26" s="631"/>
      <c r="V26" s="631"/>
      <c r="W26" s="631"/>
      <c r="X26" s="1082"/>
      <c r="Y26" s="857"/>
    </row>
    <row r="27" spans="1:25" s="408" customFormat="1" ht="16.5" customHeight="1">
      <c r="A27" s="249" t="s">
        <v>274</v>
      </c>
      <c r="B27" s="690" t="s">
        <v>90</v>
      </c>
      <c r="C27" s="690" t="s">
        <v>90</v>
      </c>
      <c r="D27" s="690" t="s">
        <v>90</v>
      </c>
      <c r="E27" s="690" t="s">
        <v>90</v>
      </c>
      <c r="F27" s="690">
        <v>35</v>
      </c>
      <c r="G27" s="690">
        <v>43</v>
      </c>
      <c r="H27" s="690">
        <v>62</v>
      </c>
      <c r="I27" s="594">
        <v>77</v>
      </c>
      <c r="J27" s="594">
        <v>95</v>
      </c>
      <c r="K27" s="594">
        <v>88</v>
      </c>
      <c r="L27" s="595">
        <v>46</v>
      </c>
      <c r="M27" s="653">
        <v>83</v>
      </c>
      <c r="N27" s="653">
        <v>77</v>
      </c>
      <c r="O27" s="653">
        <v>86</v>
      </c>
      <c r="P27" s="653">
        <v>87</v>
      </c>
      <c r="Q27" s="325">
        <v>85</v>
      </c>
      <c r="R27" s="325">
        <v>80</v>
      </c>
      <c r="S27" s="653">
        <v>92</v>
      </c>
      <c r="T27" s="653">
        <v>90</v>
      </c>
      <c r="U27" s="653">
        <v>107</v>
      </c>
      <c r="V27" s="653">
        <v>115</v>
      </c>
      <c r="W27" s="653">
        <v>90</v>
      </c>
      <c r="X27" s="1087">
        <v>65</v>
      </c>
      <c r="Y27" s="876">
        <v>81</v>
      </c>
    </row>
    <row r="28" spans="1:25" s="408" customFormat="1" ht="16.5" customHeight="1">
      <c r="A28" s="249" t="s">
        <v>281</v>
      </c>
      <c r="B28" s="690" t="s">
        <v>90</v>
      </c>
      <c r="C28" s="690" t="s">
        <v>90</v>
      </c>
      <c r="D28" s="690" t="s">
        <v>90</v>
      </c>
      <c r="E28" s="690" t="s">
        <v>90</v>
      </c>
      <c r="F28" s="690">
        <v>299</v>
      </c>
      <c r="G28" s="690">
        <v>282</v>
      </c>
      <c r="H28" s="690">
        <v>344</v>
      </c>
      <c r="I28" s="594">
        <v>265</v>
      </c>
      <c r="J28" s="594">
        <v>280</v>
      </c>
      <c r="K28" s="595">
        <v>264</v>
      </c>
      <c r="L28" s="595">
        <v>184</v>
      </c>
      <c r="M28" s="659">
        <v>465</v>
      </c>
      <c r="N28" s="659">
        <v>369</v>
      </c>
      <c r="O28" s="659">
        <v>238</v>
      </c>
      <c r="P28" s="659">
        <v>457</v>
      </c>
      <c r="Q28" s="326">
        <v>390</v>
      </c>
      <c r="R28" s="326">
        <v>406</v>
      </c>
      <c r="S28" s="659">
        <v>443</v>
      </c>
      <c r="T28" s="659">
        <v>441</v>
      </c>
      <c r="U28" s="659">
        <v>580</v>
      </c>
      <c r="V28" s="659">
        <v>684</v>
      </c>
      <c r="W28" s="659">
        <v>560</v>
      </c>
      <c r="X28" s="1096">
        <v>327</v>
      </c>
      <c r="Y28" s="877">
        <v>475</v>
      </c>
    </row>
    <row r="29" spans="1:25" s="408" customFormat="1" ht="16.5" customHeight="1">
      <c r="A29" s="250" t="s">
        <v>282</v>
      </c>
      <c r="B29" s="697" t="s">
        <v>90</v>
      </c>
      <c r="C29" s="697" t="s">
        <v>90</v>
      </c>
      <c r="D29" s="697" t="s">
        <v>90</v>
      </c>
      <c r="E29" s="697" t="s">
        <v>90</v>
      </c>
      <c r="F29" s="700">
        <v>2.6</v>
      </c>
      <c r="G29" s="700">
        <v>4.7</v>
      </c>
      <c r="H29" s="693">
        <v>5.3</v>
      </c>
      <c r="I29" s="597">
        <v>5.5</v>
      </c>
      <c r="J29" s="597">
        <v>5.5</v>
      </c>
      <c r="K29" s="597">
        <v>6.9</v>
      </c>
      <c r="L29" s="703">
        <v>4.2</v>
      </c>
      <c r="M29" s="694">
        <v>7</v>
      </c>
      <c r="N29" s="694">
        <v>6.4</v>
      </c>
      <c r="O29" s="694">
        <v>9</v>
      </c>
      <c r="P29" s="694">
        <v>10</v>
      </c>
      <c r="Q29" s="327">
        <v>9.7</v>
      </c>
      <c r="R29" s="327">
        <v>10.7</v>
      </c>
      <c r="S29" s="694">
        <v>10.7</v>
      </c>
      <c r="T29" s="694">
        <v>10.8</v>
      </c>
      <c r="U29" s="694">
        <v>10.8</v>
      </c>
      <c r="V29" s="694">
        <v>10.8</v>
      </c>
      <c r="W29" s="694">
        <v>8.7</v>
      </c>
      <c r="X29" s="1093">
        <v>10.8</v>
      </c>
      <c r="Y29" s="872">
        <v>8</v>
      </c>
    </row>
    <row r="30" spans="1:25" s="408" customFormat="1" ht="16.5" customHeight="1">
      <c r="A30" s="252" t="s">
        <v>262</v>
      </c>
      <c r="B30" s="695"/>
      <c r="C30" s="695"/>
      <c r="D30" s="695"/>
      <c r="E30" s="695"/>
      <c r="F30" s="695"/>
      <c r="G30" s="695"/>
      <c r="H30" s="695"/>
      <c r="I30" s="628"/>
      <c r="J30" s="628"/>
      <c r="K30" s="628"/>
      <c r="L30" s="628"/>
      <c r="M30" s="631"/>
      <c r="N30" s="631"/>
      <c r="O30" s="631"/>
      <c r="P30" s="631"/>
      <c r="Q30" s="631"/>
      <c r="R30" s="631"/>
      <c r="S30" s="631"/>
      <c r="T30" s="631"/>
      <c r="U30" s="631"/>
      <c r="V30" s="631"/>
      <c r="W30" s="631"/>
      <c r="X30" s="1082"/>
      <c r="Y30" s="857"/>
    </row>
    <row r="31" spans="1:25" ht="16.5" customHeight="1">
      <c r="A31" s="249" t="s">
        <v>274</v>
      </c>
      <c r="B31" s="690" t="s">
        <v>90</v>
      </c>
      <c r="C31" s="690" t="s">
        <v>90</v>
      </c>
      <c r="D31" s="690" t="s">
        <v>90</v>
      </c>
      <c r="E31" s="690" t="s">
        <v>90</v>
      </c>
      <c r="F31" s="690" t="s">
        <v>90</v>
      </c>
      <c r="G31" s="690" t="s">
        <v>90</v>
      </c>
      <c r="H31" s="690" t="s">
        <v>90</v>
      </c>
      <c r="I31" s="594">
        <v>22</v>
      </c>
      <c r="J31" s="594">
        <v>18</v>
      </c>
      <c r="K31" s="594">
        <v>13</v>
      </c>
      <c r="L31" s="594">
        <v>13</v>
      </c>
      <c r="M31" s="690" t="s">
        <v>90</v>
      </c>
      <c r="N31" s="690" t="s">
        <v>90</v>
      </c>
      <c r="O31" s="690" t="s">
        <v>90</v>
      </c>
      <c r="P31" s="690" t="s">
        <v>90</v>
      </c>
      <c r="Q31" s="324" t="s">
        <v>90</v>
      </c>
      <c r="R31" s="324" t="s">
        <v>90</v>
      </c>
      <c r="S31" s="690" t="s">
        <v>90</v>
      </c>
      <c r="T31" s="690" t="s">
        <v>90</v>
      </c>
      <c r="U31" s="690" t="s">
        <v>90</v>
      </c>
      <c r="V31" s="690" t="s">
        <v>90</v>
      </c>
      <c r="W31" s="690" t="s">
        <v>90</v>
      </c>
      <c r="X31" s="1094" t="s">
        <v>90</v>
      </c>
      <c r="Y31" s="874" t="s">
        <v>90</v>
      </c>
    </row>
    <row r="32" spans="1:25" s="53" customFormat="1" ht="16.5" customHeight="1">
      <c r="A32" s="249" t="s">
        <v>283</v>
      </c>
      <c r="B32" s="690" t="s">
        <v>90</v>
      </c>
      <c r="C32" s="690" t="s">
        <v>90</v>
      </c>
      <c r="D32" s="690" t="s">
        <v>90</v>
      </c>
      <c r="E32" s="690" t="s">
        <v>90</v>
      </c>
      <c r="F32" s="690" t="s">
        <v>90</v>
      </c>
      <c r="G32" s="690" t="s">
        <v>90</v>
      </c>
      <c r="H32" s="690" t="s">
        <v>90</v>
      </c>
      <c r="I32" s="594">
        <v>22</v>
      </c>
      <c r="J32" s="594">
        <v>18</v>
      </c>
      <c r="K32" s="594">
        <v>13</v>
      </c>
      <c r="L32" s="594">
        <v>13</v>
      </c>
      <c r="M32" s="690" t="s">
        <v>90</v>
      </c>
      <c r="N32" s="690" t="s">
        <v>90</v>
      </c>
      <c r="O32" s="690" t="s">
        <v>90</v>
      </c>
      <c r="P32" s="690" t="s">
        <v>90</v>
      </c>
      <c r="Q32" s="324" t="s">
        <v>90</v>
      </c>
      <c r="R32" s="324" t="s">
        <v>90</v>
      </c>
      <c r="S32" s="690" t="s">
        <v>90</v>
      </c>
      <c r="T32" s="690" t="s">
        <v>90</v>
      </c>
      <c r="U32" s="690" t="s">
        <v>90</v>
      </c>
      <c r="V32" s="690" t="s">
        <v>90</v>
      </c>
      <c r="W32" s="690" t="s">
        <v>90</v>
      </c>
      <c r="X32" s="1094" t="s">
        <v>90</v>
      </c>
      <c r="Y32" s="874" t="s">
        <v>90</v>
      </c>
    </row>
    <row r="33" spans="1:25" s="53" customFormat="1" ht="16.5" customHeight="1">
      <c r="A33" s="249" t="s">
        <v>214</v>
      </c>
      <c r="B33" s="699" t="s">
        <v>90</v>
      </c>
      <c r="C33" s="699" t="s">
        <v>90</v>
      </c>
      <c r="D33" s="699" t="s">
        <v>90</v>
      </c>
      <c r="E33" s="697" t="s">
        <v>90</v>
      </c>
      <c r="F33" s="697" t="s">
        <v>90</v>
      </c>
      <c r="G33" s="697" t="s">
        <v>90</v>
      </c>
      <c r="H33" s="697" t="s">
        <v>90</v>
      </c>
      <c r="I33" s="608">
        <v>1.9</v>
      </c>
      <c r="J33" s="608">
        <v>1.4</v>
      </c>
      <c r="K33" s="608">
        <v>1.3</v>
      </c>
      <c r="L33" s="608">
        <v>1</v>
      </c>
      <c r="M33" s="690" t="s">
        <v>90</v>
      </c>
      <c r="N33" s="690" t="s">
        <v>90</v>
      </c>
      <c r="O33" s="690" t="s">
        <v>90</v>
      </c>
      <c r="P33" s="690" t="s">
        <v>90</v>
      </c>
      <c r="Q33" s="324" t="s">
        <v>90</v>
      </c>
      <c r="R33" s="324" t="s">
        <v>90</v>
      </c>
      <c r="S33" s="690" t="s">
        <v>90</v>
      </c>
      <c r="T33" s="690" t="s">
        <v>90</v>
      </c>
      <c r="U33" s="690" t="s">
        <v>90</v>
      </c>
      <c r="V33" s="690" t="s">
        <v>90</v>
      </c>
      <c r="W33" s="690" t="s">
        <v>90</v>
      </c>
      <c r="X33" s="1094" t="s">
        <v>90</v>
      </c>
      <c r="Y33" s="874" t="s">
        <v>90</v>
      </c>
    </row>
    <row r="34" spans="1:25" s="53" customFormat="1" ht="16.5" customHeight="1">
      <c r="A34" s="247" t="s">
        <v>284</v>
      </c>
      <c r="B34" s="248"/>
      <c r="C34" s="248"/>
      <c r="D34" s="248"/>
      <c r="E34" s="248"/>
      <c r="F34" s="253"/>
      <c r="G34" s="248"/>
      <c r="H34" s="254"/>
      <c r="I34" s="606"/>
      <c r="J34" s="606"/>
      <c r="K34" s="606"/>
      <c r="L34" s="592"/>
      <c r="M34" s="602"/>
      <c r="N34" s="704"/>
      <c r="O34" s="704"/>
      <c r="P34" s="704"/>
      <c r="Q34" s="704"/>
      <c r="R34" s="704"/>
      <c r="S34" s="704"/>
      <c r="T34" s="704"/>
      <c r="U34" s="704"/>
      <c r="V34" s="704"/>
      <c r="W34" s="704"/>
      <c r="X34" s="704"/>
      <c r="Y34" s="878"/>
    </row>
    <row r="35" spans="1:25" s="705" customFormat="1" ht="16.5" customHeight="1">
      <c r="A35" s="249" t="s">
        <v>274</v>
      </c>
      <c r="B35" s="690" t="s">
        <v>90</v>
      </c>
      <c r="C35" s="690" t="s">
        <v>90</v>
      </c>
      <c r="D35" s="690" t="s">
        <v>90</v>
      </c>
      <c r="E35" s="690" t="s">
        <v>90</v>
      </c>
      <c r="F35" s="690" t="s">
        <v>90</v>
      </c>
      <c r="G35" s="690">
        <v>27</v>
      </c>
      <c r="H35" s="690">
        <v>40</v>
      </c>
      <c r="I35" s="639">
        <v>43</v>
      </c>
      <c r="J35" s="639">
        <v>40</v>
      </c>
      <c r="K35" s="639">
        <v>40</v>
      </c>
      <c r="L35" s="594">
        <v>30</v>
      </c>
      <c r="M35" s="653">
        <v>23</v>
      </c>
      <c r="N35" s="690" t="s">
        <v>90</v>
      </c>
      <c r="O35" s="690" t="s">
        <v>90</v>
      </c>
      <c r="P35" s="690" t="s">
        <v>90</v>
      </c>
      <c r="Q35" s="324" t="s">
        <v>90</v>
      </c>
      <c r="R35" s="324" t="s">
        <v>90</v>
      </c>
      <c r="S35" s="690" t="s">
        <v>90</v>
      </c>
      <c r="T35" s="690" t="s">
        <v>90</v>
      </c>
      <c r="U35" s="690" t="s">
        <v>90</v>
      </c>
      <c r="V35" s="690" t="s">
        <v>90</v>
      </c>
      <c r="W35" s="690" t="s">
        <v>90</v>
      </c>
      <c r="X35" s="1094" t="s">
        <v>90</v>
      </c>
      <c r="Y35" s="874" t="s">
        <v>90</v>
      </c>
    </row>
    <row r="36" spans="1:25" s="53" customFormat="1" ht="16.5" customHeight="1">
      <c r="A36" s="249" t="s">
        <v>275</v>
      </c>
      <c r="B36" s="690" t="s">
        <v>90</v>
      </c>
      <c r="C36" s="690" t="s">
        <v>90</v>
      </c>
      <c r="D36" s="690" t="s">
        <v>90</v>
      </c>
      <c r="E36" s="690" t="s">
        <v>90</v>
      </c>
      <c r="F36" s="690" t="s">
        <v>90</v>
      </c>
      <c r="G36" s="690">
        <v>27</v>
      </c>
      <c r="H36" s="690">
        <v>40</v>
      </c>
      <c r="I36" s="639">
        <v>43</v>
      </c>
      <c r="J36" s="639">
        <v>40</v>
      </c>
      <c r="K36" s="639">
        <v>40</v>
      </c>
      <c r="L36" s="594">
        <v>124</v>
      </c>
      <c r="M36" s="653">
        <v>74</v>
      </c>
      <c r="N36" s="690" t="s">
        <v>90</v>
      </c>
      <c r="O36" s="690" t="s">
        <v>90</v>
      </c>
      <c r="P36" s="690" t="s">
        <v>90</v>
      </c>
      <c r="Q36" s="324" t="s">
        <v>90</v>
      </c>
      <c r="R36" s="324" t="s">
        <v>90</v>
      </c>
      <c r="S36" s="690" t="s">
        <v>90</v>
      </c>
      <c r="T36" s="690" t="s">
        <v>90</v>
      </c>
      <c r="U36" s="690" t="s">
        <v>90</v>
      </c>
      <c r="V36" s="690" t="s">
        <v>90</v>
      </c>
      <c r="W36" s="690" t="s">
        <v>90</v>
      </c>
      <c r="X36" s="1094" t="s">
        <v>90</v>
      </c>
      <c r="Y36" s="874" t="s">
        <v>90</v>
      </c>
    </row>
    <row r="37" spans="1:25" ht="16.5" customHeight="1">
      <c r="A37" s="249" t="s">
        <v>276</v>
      </c>
      <c r="B37" s="690" t="s">
        <v>90</v>
      </c>
      <c r="C37" s="690" t="s">
        <v>90</v>
      </c>
      <c r="D37" s="690" t="s">
        <v>90</v>
      </c>
      <c r="E37" s="690" t="s">
        <v>90</v>
      </c>
      <c r="F37" s="690" t="s">
        <v>90</v>
      </c>
      <c r="G37" s="690">
        <v>58</v>
      </c>
      <c r="H37" s="690">
        <v>61</v>
      </c>
      <c r="I37" s="639">
        <v>89</v>
      </c>
      <c r="J37" s="639">
        <v>52</v>
      </c>
      <c r="K37" s="639">
        <v>29</v>
      </c>
      <c r="L37" s="594">
        <v>92</v>
      </c>
      <c r="M37" s="653">
        <v>31</v>
      </c>
      <c r="N37" s="690" t="s">
        <v>90</v>
      </c>
      <c r="O37" s="690" t="s">
        <v>90</v>
      </c>
      <c r="P37" s="690" t="s">
        <v>90</v>
      </c>
      <c r="Q37" s="324" t="s">
        <v>90</v>
      </c>
      <c r="R37" s="324" t="s">
        <v>90</v>
      </c>
      <c r="S37" s="690" t="s">
        <v>90</v>
      </c>
      <c r="T37" s="690" t="s">
        <v>90</v>
      </c>
      <c r="U37" s="690" t="s">
        <v>90</v>
      </c>
      <c r="V37" s="690" t="s">
        <v>90</v>
      </c>
      <c r="W37" s="690" t="s">
        <v>90</v>
      </c>
      <c r="X37" s="1094" t="s">
        <v>90</v>
      </c>
      <c r="Y37" s="874" t="s">
        <v>90</v>
      </c>
    </row>
    <row r="38" spans="1:25" ht="16.5" customHeight="1">
      <c r="A38" s="249" t="s">
        <v>214</v>
      </c>
      <c r="B38" s="697" t="s">
        <v>90</v>
      </c>
      <c r="C38" s="697" t="s">
        <v>90</v>
      </c>
      <c r="D38" s="697" t="s">
        <v>90</v>
      </c>
      <c r="E38" s="697" t="s">
        <v>90</v>
      </c>
      <c r="F38" s="697" t="s">
        <v>90</v>
      </c>
      <c r="G38" s="693">
        <v>6.4</v>
      </c>
      <c r="H38" s="693">
        <v>6</v>
      </c>
      <c r="I38" s="597">
        <v>8.3</v>
      </c>
      <c r="J38" s="597">
        <v>7.4</v>
      </c>
      <c r="K38" s="597">
        <v>7.4</v>
      </c>
      <c r="L38" s="597">
        <v>8.9</v>
      </c>
      <c r="M38" s="694">
        <v>2</v>
      </c>
      <c r="N38" s="697" t="s">
        <v>90</v>
      </c>
      <c r="O38" s="697" t="s">
        <v>90</v>
      </c>
      <c r="P38" s="697" t="s">
        <v>90</v>
      </c>
      <c r="Q38" s="698" t="s">
        <v>90</v>
      </c>
      <c r="R38" s="698" t="s">
        <v>90</v>
      </c>
      <c r="S38" s="697" t="s">
        <v>90</v>
      </c>
      <c r="T38" s="697" t="s">
        <v>90</v>
      </c>
      <c r="U38" s="697" t="s">
        <v>90</v>
      </c>
      <c r="V38" s="697" t="s">
        <v>90</v>
      </c>
      <c r="W38" s="697" t="s">
        <v>90</v>
      </c>
      <c r="X38" s="1095" t="s">
        <v>90</v>
      </c>
      <c r="Y38" s="875" t="s">
        <v>90</v>
      </c>
    </row>
    <row r="39" spans="1:25" s="408" customFormat="1" ht="16.5" customHeight="1">
      <c r="A39" s="1183" t="s">
        <v>696</v>
      </c>
      <c r="B39" s="1184"/>
      <c r="C39" s="1184"/>
      <c r="D39" s="1185"/>
      <c r="E39" s="695"/>
      <c r="F39" s="695"/>
      <c r="G39" s="695"/>
      <c r="H39" s="695"/>
      <c r="I39" s="628"/>
      <c r="J39" s="628"/>
      <c r="K39" s="628"/>
      <c r="L39" s="628"/>
      <c r="M39" s="631"/>
      <c r="N39" s="631"/>
      <c r="O39" s="631"/>
      <c r="P39" s="631"/>
      <c r="Q39" s="631"/>
      <c r="R39" s="631"/>
      <c r="S39" s="631"/>
      <c r="T39" s="631"/>
      <c r="U39" s="631"/>
      <c r="V39" s="631"/>
      <c r="W39" s="631"/>
      <c r="X39" s="1082"/>
      <c r="Y39" s="857"/>
    </row>
    <row r="40" spans="1:25" s="53" customFormat="1" ht="16.5" customHeight="1">
      <c r="A40" s="249" t="s">
        <v>697</v>
      </c>
      <c r="B40" s="690" t="s">
        <v>90</v>
      </c>
      <c r="C40" s="690" t="s">
        <v>90</v>
      </c>
      <c r="D40" s="690" t="s">
        <v>90</v>
      </c>
      <c r="E40" s="690" t="s">
        <v>90</v>
      </c>
      <c r="F40" s="690" t="s">
        <v>90</v>
      </c>
      <c r="G40" s="690" t="s">
        <v>90</v>
      </c>
      <c r="H40" s="690" t="s">
        <v>90</v>
      </c>
      <c r="I40" s="690" t="s">
        <v>90</v>
      </c>
      <c r="J40" s="690" t="s">
        <v>90</v>
      </c>
      <c r="K40" s="690" t="s">
        <v>90</v>
      </c>
      <c r="L40" s="690" t="s">
        <v>90</v>
      </c>
      <c r="M40" s="690" t="s">
        <v>90</v>
      </c>
      <c r="N40" s="690" t="s">
        <v>90</v>
      </c>
      <c r="O40" s="690" t="s">
        <v>90</v>
      </c>
      <c r="P40" s="690" t="s">
        <v>90</v>
      </c>
      <c r="Q40" s="324" t="s">
        <v>90</v>
      </c>
      <c r="R40" s="324" t="s">
        <v>90</v>
      </c>
      <c r="S40" s="690" t="s">
        <v>90</v>
      </c>
      <c r="T40" s="690" t="s">
        <v>90</v>
      </c>
      <c r="U40" s="690" t="s">
        <v>90</v>
      </c>
      <c r="V40" s="690">
        <v>255</v>
      </c>
      <c r="W40" s="690" t="s">
        <v>90</v>
      </c>
      <c r="X40" s="1094" t="s">
        <v>90</v>
      </c>
      <c r="Y40" s="690" t="s">
        <v>90</v>
      </c>
    </row>
    <row r="41" spans="1:25" s="53" customFormat="1" ht="16.5" customHeight="1">
      <c r="A41" s="249" t="s">
        <v>214</v>
      </c>
      <c r="B41" s="699" t="s">
        <v>90</v>
      </c>
      <c r="C41" s="699" t="s">
        <v>90</v>
      </c>
      <c r="D41" s="699" t="s">
        <v>90</v>
      </c>
      <c r="E41" s="699" t="s">
        <v>90</v>
      </c>
      <c r="F41" s="699" t="s">
        <v>90</v>
      </c>
      <c r="G41" s="699" t="s">
        <v>90</v>
      </c>
      <c r="H41" s="699" t="s">
        <v>90</v>
      </c>
      <c r="I41" s="699" t="s">
        <v>90</v>
      </c>
      <c r="J41" s="699" t="s">
        <v>90</v>
      </c>
      <c r="K41" s="699" t="s">
        <v>90</v>
      </c>
      <c r="L41" s="699" t="s">
        <v>90</v>
      </c>
      <c r="M41" s="699" t="s">
        <v>90</v>
      </c>
      <c r="N41" s="690" t="s">
        <v>90</v>
      </c>
      <c r="O41" s="690" t="s">
        <v>90</v>
      </c>
      <c r="P41" s="690" t="s">
        <v>90</v>
      </c>
      <c r="Q41" s="324" t="s">
        <v>90</v>
      </c>
      <c r="R41" s="324" t="s">
        <v>90</v>
      </c>
      <c r="S41" s="690" t="s">
        <v>90</v>
      </c>
      <c r="T41" s="690" t="s">
        <v>90</v>
      </c>
      <c r="U41" s="690" t="s">
        <v>90</v>
      </c>
      <c r="V41" s="867">
        <v>4.9</v>
      </c>
      <c r="W41" s="690" t="s">
        <v>90</v>
      </c>
      <c r="X41" s="1094" t="s">
        <v>90</v>
      </c>
      <c r="Y41" s="690" t="s">
        <v>90</v>
      </c>
    </row>
    <row r="42" spans="1:25" ht="12.75">
      <c r="A42" s="688"/>
      <c r="B42" s="688"/>
      <c r="C42" s="688"/>
      <c r="D42" s="688"/>
      <c r="E42" s="688"/>
      <c r="F42" s="688"/>
      <c r="G42" s="688"/>
      <c r="H42" s="688"/>
      <c r="I42" s="688"/>
      <c r="J42" s="688"/>
      <c r="K42" s="688"/>
      <c r="L42" s="688"/>
      <c r="M42" s="688"/>
      <c r="N42" s="688"/>
      <c r="O42" s="688"/>
      <c r="P42" s="688"/>
      <c r="Q42" s="323"/>
      <c r="R42" s="323"/>
      <c r="S42" s="688"/>
      <c r="T42" s="688"/>
      <c r="U42" s="688"/>
      <c r="V42" s="688"/>
      <c r="W42" s="688"/>
      <c r="X42" s="688"/>
      <c r="Y42" s="868"/>
    </row>
    <row r="43" spans="1:25" ht="12.75">
      <c r="A43" s="255" t="s">
        <v>285</v>
      </c>
      <c r="B43" s="255"/>
      <c r="C43" s="255"/>
      <c r="D43" s="255"/>
      <c r="E43" s="255"/>
      <c r="F43" s="255"/>
      <c r="G43" s="255"/>
      <c r="H43" s="255"/>
      <c r="I43" s="255"/>
      <c r="J43" s="255"/>
      <c r="K43" s="255"/>
      <c r="L43" s="255"/>
      <c r="M43" s="255"/>
      <c r="N43" s="255"/>
      <c r="O43" s="255"/>
      <c r="P43" s="255"/>
      <c r="Q43" s="255"/>
      <c r="R43" s="255"/>
      <c r="S43" s="255"/>
      <c r="T43" s="255"/>
      <c r="U43" s="255"/>
      <c r="V43" s="255"/>
      <c r="W43" s="255"/>
      <c r="X43" s="255"/>
      <c r="Y43" s="879"/>
    </row>
    <row r="44" spans="1:25" ht="12.75">
      <c r="A44" s="706" t="s">
        <v>286</v>
      </c>
      <c r="B44" s="255"/>
      <c r="C44" s="255"/>
      <c r="D44" s="255"/>
      <c r="E44" s="255"/>
      <c r="F44" s="255"/>
      <c r="G44" s="255"/>
      <c r="H44" s="255"/>
      <c r="I44" s="255"/>
      <c r="J44" s="255"/>
      <c r="K44" s="255"/>
      <c r="L44" s="255"/>
      <c r="M44" s="255"/>
      <c r="N44" s="255"/>
      <c r="O44" s="255"/>
      <c r="P44" s="255"/>
      <c r="Q44" s="255"/>
      <c r="R44" s="255"/>
      <c r="S44" s="255"/>
      <c r="T44" s="255"/>
      <c r="U44" s="255"/>
      <c r="V44" s="255"/>
      <c r="W44" s="255"/>
      <c r="X44" s="255"/>
      <c r="Y44" s="879"/>
    </row>
    <row r="45" spans="1:25" ht="12.75">
      <c r="A45" s="255" t="s">
        <v>712</v>
      </c>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879"/>
    </row>
    <row r="46" spans="1:25" ht="12.75">
      <c r="A46" s="255" t="s">
        <v>287</v>
      </c>
      <c r="B46" s="255"/>
      <c r="C46" s="255"/>
      <c r="D46" s="255"/>
      <c r="E46" s="255"/>
      <c r="F46" s="255"/>
      <c r="G46" s="255"/>
      <c r="H46" s="255"/>
      <c r="I46" s="255"/>
      <c r="J46" s="255"/>
      <c r="K46" s="255"/>
      <c r="L46" s="255"/>
      <c r="M46" s="255"/>
      <c r="N46" s="255"/>
      <c r="O46" s="255"/>
      <c r="P46" s="255"/>
      <c r="Q46" s="255"/>
      <c r="R46" s="255"/>
      <c r="S46" s="255"/>
      <c r="T46" s="255"/>
      <c r="U46" s="255"/>
      <c r="V46" s="255"/>
      <c r="W46" s="255"/>
      <c r="X46" s="255"/>
      <c r="Y46" s="879"/>
    </row>
    <row r="47" spans="1:25" ht="12.75">
      <c r="A47" s="255" t="s">
        <v>288</v>
      </c>
      <c r="B47" s="256"/>
      <c r="C47" s="256"/>
      <c r="D47" s="256"/>
      <c r="E47" s="256"/>
      <c r="F47" s="256"/>
      <c r="G47" s="256"/>
      <c r="H47" s="256"/>
      <c r="I47" s="256"/>
      <c r="J47" s="256"/>
      <c r="K47" s="256"/>
      <c r="L47" s="256"/>
      <c r="M47" s="256"/>
      <c r="N47" s="256"/>
      <c r="O47" s="256"/>
      <c r="P47" s="256"/>
      <c r="Q47" s="256"/>
      <c r="R47" s="256"/>
      <c r="S47" s="256"/>
      <c r="T47" s="256"/>
      <c r="U47" s="256"/>
      <c r="V47" s="256"/>
      <c r="W47" s="256"/>
      <c r="X47" s="256"/>
      <c r="Y47" s="880"/>
    </row>
    <row r="48" spans="1:25" ht="12.75">
      <c r="A48" s="255" t="s">
        <v>289</v>
      </c>
      <c r="B48" s="255"/>
      <c r="C48" s="255"/>
      <c r="D48" s="255"/>
      <c r="E48" s="255"/>
      <c r="F48" s="255"/>
      <c r="G48" s="255"/>
      <c r="H48" s="255"/>
      <c r="I48" s="255"/>
      <c r="J48" s="255"/>
      <c r="K48" s="255"/>
      <c r="L48" s="255"/>
      <c r="M48" s="255"/>
      <c r="N48" s="255"/>
      <c r="O48" s="255"/>
      <c r="P48" s="255"/>
      <c r="Q48" s="255"/>
      <c r="R48" s="255"/>
      <c r="S48" s="255"/>
      <c r="T48" s="255"/>
      <c r="U48" s="255"/>
      <c r="V48" s="255"/>
      <c r="W48" s="255"/>
      <c r="X48" s="255"/>
      <c r="Y48" s="879"/>
    </row>
    <row r="49" ht="12.75">
      <c r="A49" s="58"/>
    </row>
    <row r="50" ht="12.75">
      <c r="A50" s="53" t="s">
        <v>231</v>
      </c>
    </row>
    <row r="51" spans="1:25" ht="12.75">
      <c r="A51" s="1118" t="s">
        <v>864</v>
      </c>
      <c r="B51" s="1118"/>
      <c r="C51" s="1118"/>
      <c r="D51" s="1118"/>
      <c r="E51" s="1118"/>
      <c r="F51" s="1118"/>
      <c r="G51" s="1118"/>
      <c r="H51" s="1118"/>
      <c r="I51" s="1118"/>
      <c r="J51" s="1118"/>
      <c r="K51" s="1118"/>
      <c r="L51" s="1118"/>
      <c r="M51" s="1118"/>
      <c r="N51" s="1118"/>
      <c r="O51" s="1118"/>
      <c r="P51" s="1118"/>
      <c r="Q51" s="1118"/>
      <c r="R51" s="1118"/>
      <c r="S51" s="1118"/>
      <c r="T51" s="1118"/>
      <c r="U51" s="1118"/>
      <c r="V51" s="1118"/>
      <c r="W51" s="1118"/>
      <c r="X51" s="1118"/>
      <c r="Y51" s="1118"/>
    </row>
    <row r="52" spans="1:26" ht="12.75">
      <c r="A52" s="1118" t="s">
        <v>875</v>
      </c>
      <c r="B52" s="1118"/>
      <c r="C52" s="1118"/>
      <c r="D52" s="1118"/>
      <c r="E52" s="1118"/>
      <c r="F52" s="1118"/>
      <c r="G52" s="1118"/>
      <c r="H52" s="1118"/>
      <c r="I52" s="1118"/>
      <c r="J52" s="1118"/>
      <c r="K52" s="1118"/>
      <c r="L52" s="1118"/>
      <c r="M52" s="1118"/>
      <c r="N52" s="1118"/>
      <c r="O52" s="1118"/>
      <c r="P52" s="1118"/>
      <c r="Q52" s="1118"/>
      <c r="R52" s="1118"/>
      <c r="S52" s="1118"/>
      <c r="T52" s="1118"/>
      <c r="U52" s="1118"/>
      <c r="V52" s="1118"/>
      <c r="W52" s="1118"/>
      <c r="X52" s="1118"/>
      <c r="Y52" s="1118"/>
      <c r="Z52" s="616"/>
    </row>
  </sheetData>
  <sheetProtection/>
  <mergeCells count="7">
    <mergeCell ref="A52:Y52"/>
    <mergeCell ref="A1:Y1"/>
    <mergeCell ref="A3:Y3"/>
    <mergeCell ref="A4:Y4"/>
    <mergeCell ref="A5:Y5"/>
    <mergeCell ref="A39:D39"/>
    <mergeCell ref="A51:Y51"/>
  </mergeCells>
  <printOptions horizontalCentered="1"/>
  <pageMargins left="0.7874015748031497" right="0.7874015748031497" top="0.984251968503937" bottom="0.984251968503937" header="0" footer="0"/>
  <pageSetup fitToHeight="1" fitToWidth="1" horizontalDpi="600" verticalDpi="600" orientation="landscape" scale="50"/>
</worksheet>
</file>

<file path=xl/worksheets/sheet27.xml><?xml version="1.0" encoding="utf-8"?>
<worksheet xmlns="http://schemas.openxmlformats.org/spreadsheetml/2006/main" xmlns:r="http://schemas.openxmlformats.org/officeDocument/2006/relationships">
  <sheetPr>
    <tabColor theme="9" tint="-0.24997000396251678"/>
    <pageSetUpPr fitToPage="1"/>
  </sheetPr>
  <dimension ref="A1:Z42"/>
  <sheetViews>
    <sheetView zoomScalePageLayoutView="0" workbookViewId="0" topLeftCell="A1">
      <pane xSplit="1" ySplit="8" topLeftCell="G9" activePane="bottomRight" state="frozen"/>
      <selection pane="topLeft" activeCell="A1" sqref="A1"/>
      <selection pane="topRight" activeCell="B1" sqref="B1"/>
      <selection pane="bottomLeft" activeCell="A9" sqref="A9"/>
      <selection pane="bottomRight" activeCell="A23" sqref="A23:U23"/>
    </sheetView>
  </sheetViews>
  <sheetFormatPr defaultColWidth="10.8515625" defaultRowHeight="12.75"/>
  <cols>
    <col min="1" max="1" width="52.8515625" style="65" customWidth="1"/>
    <col min="2" max="2" width="10.8515625" style="65" customWidth="1"/>
    <col min="3" max="14" width="10.8515625" style="393" customWidth="1"/>
    <col min="15" max="15" width="10.8515625" style="707" customWidth="1"/>
    <col min="16" max="19" width="10.8515625" style="393" customWidth="1"/>
    <col min="20" max="20" width="10.8515625" style="1069" customWidth="1"/>
    <col min="21" max="21" width="10.8515625" style="810" customWidth="1"/>
    <col min="22" max="16384" width="10.8515625" style="65" customWidth="1"/>
  </cols>
  <sheetData>
    <row r="1" spans="1:21" ht="12" customHeight="1">
      <c r="A1" s="1171" t="s">
        <v>783</v>
      </c>
      <c r="B1" s="1171"/>
      <c r="C1" s="1171"/>
      <c r="D1" s="1171"/>
      <c r="E1" s="1171"/>
      <c r="F1" s="1171"/>
      <c r="G1" s="1171"/>
      <c r="H1" s="1171"/>
      <c r="I1" s="1171"/>
      <c r="J1" s="1171"/>
      <c r="K1" s="1171"/>
      <c r="L1" s="1171"/>
      <c r="M1" s="1171"/>
      <c r="N1" s="1171"/>
      <c r="O1" s="1171"/>
      <c r="P1" s="1171"/>
      <c r="Q1" s="1171"/>
      <c r="R1" s="1171"/>
      <c r="S1" s="1171"/>
      <c r="T1" s="1171"/>
      <c r="U1" s="1171"/>
    </row>
    <row r="2" spans="1:2" ht="12" customHeight="1">
      <c r="A2" s="393"/>
      <c r="B2" s="393"/>
    </row>
    <row r="3" spans="1:21" s="371" customFormat="1" ht="18" customHeight="1">
      <c r="A3" s="1116" t="s">
        <v>19</v>
      </c>
      <c r="B3" s="1116"/>
      <c r="C3" s="1116"/>
      <c r="D3" s="1116"/>
      <c r="E3" s="1116"/>
      <c r="F3" s="1116"/>
      <c r="G3" s="1116"/>
      <c r="H3" s="1116"/>
      <c r="I3" s="1116"/>
      <c r="J3" s="1116"/>
      <c r="K3" s="1116"/>
      <c r="L3" s="1116"/>
      <c r="M3" s="1116"/>
      <c r="N3" s="1116"/>
      <c r="O3" s="1116"/>
      <c r="P3" s="1116"/>
      <c r="Q3" s="1116"/>
      <c r="R3" s="1116"/>
      <c r="S3" s="1116"/>
      <c r="T3" s="1116"/>
      <c r="U3" s="1116"/>
    </row>
    <row r="4" spans="1:21" s="52" customFormat="1" ht="18" customHeight="1">
      <c r="A4" s="1117" t="s">
        <v>876</v>
      </c>
      <c r="B4" s="1117"/>
      <c r="C4" s="1117"/>
      <c r="D4" s="1117"/>
      <c r="E4" s="1117"/>
      <c r="F4" s="1117"/>
      <c r="G4" s="1117"/>
      <c r="H4" s="1117"/>
      <c r="I4" s="1117"/>
      <c r="J4" s="1117"/>
      <c r="K4" s="1117"/>
      <c r="L4" s="1117"/>
      <c r="M4" s="1117"/>
      <c r="N4" s="1117"/>
      <c r="O4" s="1117"/>
      <c r="P4" s="1117"/>
      <c r="Q4" s="1117"/>
      <c r="R4" s="1117"/>
      <c r="S4" s="1117"/>
      <c r="T4" s="1117"/>
      <c r="U4" s="1117"/>
    </row>
    <row r="5" ht="18" customHeight="1"/>
    <row r="6" spans="1:21" s="52" customFormat="1" ht="18" customHeight="1">
      <c r="A6" s="521"/>
      <c r="B6" s="509">
        <v>2004</v>
      </c>
      <c r="C6" s="509">
        <v>2005</v>
      </c>
      <c r="D6" s="509">
        <v>2006</v>
      </c>
      <c r="E6" s="509">
        <v>2007</v>
      </c>
      <c r="F6" s="509">
        <v>2008</v>
      </c>
      <c r="G6" s="509">
        <v>2009</v>
      </c>
      <c r="H6" s="509">
        <v>2010</v>
      </c>
      <c r="I6" s="509">
        <v>2011</v>
      </c>
      <c r="J6" s="509">
        <v>2012</v>
      </c>
      <c r="K6" s="509">
        <v>2013</v>
      </c>
      <c r="L6" s="509">
        <v>2014</v>
      </c>
      <c r="M6" s="509">
        <v>2015</v>
      </c>
      <c r="N6" s="509">
        <v>2016</v>
      </c>
      <c r="O6" s="708">
        <v>2017</v>
      </c>
      <c r="P6" s="509">
        <v>2018</v>
      </c>
      <c r="Q6" s="509">
        <v>2019</v>
      </c>
      <c r="R6" s="509">
        <v>2020</v>
      </c>
      <c r="S6" s="509">
        <v>2021</v>
      </c>
      <c r="T6" s="509">
        <v>2022</v>
      </c>
      <c r="U6" s="802">
        <v>2023</v>
      </c>
    </row>
    <row r="7" spans="1:21" ht="18" customHeight="1">
      <c r="A7" s="709" t="s">
        <v>290</v>
      </c>
      <c r="B7" s="372">
        <f>B8</f>
        <v>61</v>
      </c>
      <c r="C7" s="372">
        <f>C8</f>
        <v>136</v>
      </c>
      <c r="D7" s="372">
        <f>D8+D15</f>
        <v>209</v>
      </c>
      <c r="E7" s="372">
        <f>E8+E15</f>
        <v>325</v>
      </c>
      <c r="F7" s="372">
        <f aca="true" t="shared" si="0" ref="F7:L7">F8+F15+F17</f>
        <v>360</v>
      </c>
      <c r="G7" s="372">
        <f t="shared" si="0"/>
        <v>350</v>
      </c>
      <c r="H7" s="372">
        <f t="shared" si="0"/>
        <v>336</v>
      </c>
      <c r="I7" s="372">
        <f t="shared" si="0"/>
        <v>367</v>
      </c>
      <c r="J7" s="372">
        <f t="shared" si="0"/>
        <v>376</v>
      </c>
      <c r="K7" s="372">
        <f t="shared" si="0"/>
        <v>443</v>
      </c>
      <c r="L7" s="372">
        <f t="shared" si="0"/>
        <v>538</v>
      </c>
      <c r="M7" s="372">
        <f aca="true" t="shared" si="1" ref="M7:U7">M8+M15</f>
        <v>605</v>
      </c>
      <c r="N7" s="372">
        <f t="shared" si="1"/>
        <v>602</v>
      </c>
      <c r="O7" s="375">
        <f t="shared" si="1"/>
        <v>635</v>
      </c>
      <c r="P7" s="372">
        <f t="shared" si="1"/>
        <v>661</v>
      </c>
      <c r="Q7" s="372">
        <f t="shared" si="1"/>
        <v>698</v>
      </c>
      <c r="R7" s="372">
        <f>R8+R15</f>
        <v>734</v>
      </c>
      <c r="S7" s="372">
        <f>S8+S15</f>
        <v>750</v>
      </c>
      <c r="T7" s="372">
        <f>T8+T15</f>
        <v>724</v>
      </c>
      <c r="U7" s="825">
        <f t="shared" si="1"/>
        <v>758</v>
      </c>
    </row>
    <row r="8" spans="1:21" ht="18" customHeight="1">
      <c r="A8" s="710" t="s">
        <v>291</v>
      </c>
      <c r="B8" s="372">
        <f aca="true" t="shared" si="2" ref="B8:M8">SUM(B9:B11)</f>
        <v>61</v>
      </c>
      <c r="C8" s="372">
        <f t="shared" si="2"/>
        <v>136</v>
      </c>
      <c r="D8" s="372">
        <f t="shared" si="2"/>
        <v>191</v>
      </c>
      <c r="E8" s="372">
        <f t="shared" si="2"/>
        <v>274</v>
      </c>
      <c r="F8" s="372">
        <f t="shared" si="2"/>
        <v>303</v>
      </c>
      <c r="G8" s="372">
        <f t="shared" si="2"/>
        <v>320</v>
      </c>
      <c r="H8" s="372">
        <f t="shared" si="2"/>
        <v>316</v>
      </c>
      <c r="I8" s="372">
        <f t="shared" si="2"/>
        <v>360</v>
      </c>
      <c r="J8" s="372">
        <f t="shared" si="2"/>
        <v>366</v>
      </c>
      <c r="K8" s="372">
        <f t="shared" si="2"/>
        <v>434</v>
      </c>
      <c r="L8" s="372">
        <f t="shared" si="2"/>
        <v>527</v>
      </c>
      <c r="M8" s="372">
        <f t="shared" si="2"/>
        <v>605</v>
      </c>
      <c r="N8" s="372">
        <f>SUM(N9:N12)</f>
        <v>602</v>
      </c>
      <c r="O8" s="375">
        <f>SUM(O9:O12)</f>
        <v>635</v>
      </c>
      <c r="P8" s="372">
        <f>SUM(P9:P12)</f>
        <v>661</v>
      </c>
      <c r="Q8" s="372">
        <f>SUM(Q9:Q12)</f>
        <v>698</v>
      </c>
      <c r="R8" s="372">
        <f>SUM(R9:R12)</f>
        <v>734</v>
      </c>
      <c r="S8" s="372">
        <f>SUM(S9:S13)</f>
        <v>750</v>
      </c>
      <c r="T8" s="372">
        <f>SUM(T9:T13)</f>
        <v>724</v>
      </c>
      <c r="U8" s="825">
        <f>SUM(U9:U13)</f>
        <v>758</v>
      </c>
    </row>
    <row r="9" spans="1:21" ht="18" customHeight="1">
      <c r="A9" s="711" t="s">
        <v>292</v>
      </c>
      <c r="B9" s="712">
        <v>56</v>
      </c>
      <c r="C9" s="712">
        <v>99</v>
      </c>
      <c r="D9" s="712">
        <v>124</v>
      </c>
      <c r="E9" s="712">
        <v>192</v>
      </c>
      <c r="F9" s="712">
        <v>197</v>
      </c>
      <c r="G9" s="712">
        <v>208</v>
      </c>
      <c r="H9" s="712">
        <v>209</v>
      </c>
      <c r="I9" s="712">
        <v>228</v>
      </c>
      <c r="J9" s="712">
        <v>206</v>
      </c>
      <c r="K9" s="712">
        <v>240</v>
      </c>
      <c r="L9" s="712">
        <v>257</v>
      </c>
      <c r="M9" s="712">
        <v>307</v>
      </c>
      <c r="N9" s="712">
        <v>296</v>
      </c>
      <c r="O9" s="713">
        <v>297</v>
      </c>
      <c r="P9" s="712">
        <v>292</v>
      </c>
      <c r="Q9" s="712">
        <v>296</v>
      </c>
      <c r="R9" s="712">
        <v>297</v>
      </c>
      <c r="S9" s="712">
        <v>298</v>
      </c>
      <c r="T9" s="1097">
        <v>327</v>
      </c>
      <c r="U9" s="861">
        <v>335</v>
      </c>
    </row>
    <row r="10" spans="1:21" ht="18" customHeight="1">
      <c r="A10" s="711" t="s">
        <v>293</v>
      </c>
      <c r="B10" s="712">
        <v>1</v>
      </c>
      <c r="C10" s="712">
        <v>11</v>
      </c>
      <c r="D10" s="712">
        <v>19</v>
      </c>
      <c r="E10" s="712">
        <v>27</v>
      </c>
      <c r="F10" s="712">
        <v>51</v>
      </c>
      <c r="G10" s="712">
        <v>55</v>
      </c>
      <c r="H10" s="712">
        <v>50</v>
      </c>
      <c r="I10" s="712">
        <v>61</v>
      </c>
      <c r="J10" s="712">
        <v>76</v>
      </c>
      <c r="K10" s="712">
        <v>79</v>
      </c>
      <c r="L10" s="712">
        <v>130</v>
      </c>
      <c r="M10" s="712">
        <v>159</v>
      </c>
      <c r="N10" s="712">
        <v>158</v>
      </c>
      <c r="O10" s="713">
        <v>166</v>
      </c>
      <c r="P10" s="712">
        <v>157</v>
      </c>
      <c r="Q10" s="712">
        <v>172</v>
      </c>
      <c r="R10" s="712">
        <v>185</v>
      </c>
      <c r="S10" s="712">
        <v>195</v>
      </c>
      <c r="T10" s="1097">
        <v>179</v>
      </c>
      <c r="U10" s="861">
        <v>169</v>
      </c>
    </row>
    <row r="11" spans="1:21" ht="18" customHeight="1">
      <c r="A11" s="711" t="s">
        <v>294</v>
      </c>
      <c r="B11" s="712">
        <v>4</v>
      </c>
      <c r="C11" s="712">
        <v>26</v>
      </c>
      <c r="D11" s="712">
        <v>48</v>
      </c>
      <c r="E11" s="712">
        <v>55</v>
      </c>
      <c r="F11" s="712">
        <v>55</v>
      </c>
      <c r="G11" s="712">
        <v>57</v>
      </c>
      <c r="H11" s="712">
        <v>57</v>
      </c>
      <c r="I11" s="712">
        <v>71</v>
      </c>
      <c r="J11" s="712">
        <v>84</v>
      </c>
      <c r="K11" s="712">
        <v>115</v>
      </c>
      <c r="L11" s="712">
        <v>140</v>
      </c>
      <c r="M11" s="712">
        <v>139</v>
      </c>
      <c r="N11" s="712">
        <v>142</v>
      </c>
      <c r="O11" s="713">
        <v>168</v>
      </c>
      <c r="P11" s="712">
        <v>212</v>
      </c>
      <c r="Q11" s="712">
        <v>230</v>
      </c>
      <c r="R11" s="712">
        <v>252</v>
      </c>
      <c r="S11" s="712">
        <v>256</v>
      </c>
      <c r="T11" s="1097">
        <v>218</v>
      </c>
      <c r="U11" s="861">
        <v>254</v>
      </c>
    </row>
    <row r="12" spans="1:21" ht="25.5">
      <c r="A12" s="711" t="s">
        <v>558</v>
      </c>
      <c r="B12" s="712" t="s">
        <v>90</v>
      </c>
      <c r="C12" s="712" t="s">
        <v>90</v>
      </c>
      <c r="D12" s="712" t="s">
        <v>90</v>
      </c>
      <c r="E12" s="712" t="s">
        <v>90</v>
      </c>
      <c r="F12" s="712" t="s">
        <v>90</v>
      </c>
      <c r="G12" s="712" t="s">
        <v>90</v>
      </c>
      <c r="H12" s="712" t="s">
        <v>90</v>
      </c>
      <c r="I12" s="712" t="s">
        <v>90</v>
      </c>
      <c r="J12" s="712" t="s">
        <v>90</v>
      </c>
      <c r="K12" s="712" t="s">
        <v>90</v>
      </c>
      <c r="L12" s="712" t="s">
        <v>90</v>
      </c>
      <c r="M12" s="712" t="s">
        <v>90</v>
      </c>
      <c r="N12" s="712">
        <v>6</v>
      </c>
      <c r="O12" s="713">
        <v>4</v>
      </c>
      <c r="P12" s="714" t="s">
        <v>90</v>
      </c>
      <c r="Q12" s="714" t="s">
        <v>90</v>
      </c>
      <c r="R12" s="714" t="s">
        <v>90</v>
      </c>
      <c r="S12" s="714" t="s">
        <v>90</v>
      </c>
      <c r="T12" s="1098" t="s">
        <v>90</v>
      </c>
      <c r="U12" s="714" t="s">
        <v>90</v>
      </c>
    </row>
    <row r="13" spans="1:21" ht="18" customHeight="1">
      <c r="A13" s="711" t="s">
        <v>724</v>
      </c>
      <c r="B13" s="712" t="s">
        <v>90</v>
      </c>
      <c r="C13" s="712" t="s">
        <v>90</v>
      </c>
      <c r="D13" s="712" t="s">
        <v>90</v>
      </c>
      <c r="E13" s="712" t="s">
        <v>90</v>
      </c>
      <c r="F13" s="712" t="s">
        <v>90</v>
      </c>
      <c r="G13" s="712" t="s">
        <v>90</v>
      </c>
      <c r="H13" s="712" t="s">
        <v>90</v>
      </c>
      <c r="I13" s="712" t="s">
        <v>90</v>
      </c>
      <c r="J13" s="712" t="s">
        <v>90</v>
      </c>
      <c r="K13" s="712" t="s">
        <v>90</v>
      </c>
      <c r="L13" s="712" t="s">
        <v>90</v>
      </c>
      <c r="M13" s="712" t="s">
        <v>90</v>
      </c>
      <c r="N13" s="712" t="s">
        <v>90</v>
      </c>
      <c r="O13" s="712" t="s">
        <v>90</v>
      </c>
      <c r="P13" s="712" t="s">
        <v>90</v>
      </c>
      <c r="Q13" s="712" t="s">
        <v>90</v>
      </c>
      <c r="R13" s="712" t="s">
        <v>90</v>
      </c>
      <c r="S13" s="714">
        <v>1</v>
      </c>
      <c r="T13" s="1098" t="s">
        <v>90</v>
      </c>
      <c r="U13" s="714" t="s">
        <v>90</v>
      </c>
    </row>
    <row r="14" spans="1:21" ht="18" customHeight="1">
      <c r="A14" s="715" t="s">
        <v>257</v>
      </c>
      <c r="B14" s="716"/>
      <c r="C14" s="717"/>
      <c r="D14" s="717"/>
      <c r="E14" s="717"/>
      <c r="F14" s="717"/>
      <c r="G14" s="717"/>
      <c r="H14" s="717"/>
      <c r="I14" s="717"/>
      <c r="J14" s="717"/>
      <c r="K14" s="717"/>
      <c r="L14" s="717"/>
      <c r="M14" s="717"/>
      <c r="N14" s="717"/>
      <c r="O14" s="718"/>
      <c r="P14" s="717"/>
      <c r="Q14" s="717"/>
      <c r="R14" s="717"/>
      <c r="S14" s="717"/>
      <c r="T14" s="1099"/>
      <c r="U14" s="863"/>
    </row>
    <row r="15" spans="1:21" ht="18" customHeight="1">
      <c r="A15" s="711" t="s">
        <v>294</v>
      </c>
      <c r="B15" s="712" t="s">
        <v>90</v>
      </c>
      <c r="C15" s="712" t="s">
        <v>90</v>
      </c>
      <c r="D15" s="712">
        <v>18</v>
      </c>
      <c r="E15" s="712">
        <v>51</v>
      </c>
      <c r="F15" s="712">
        <v>54</v>
      </c>
      <c r="G15" s="712">
        <v>25</v>
      </c>
      <c r="H15" s="712">
        <v>6</v>
      </c>
      <c r="I15" s="712">
        <v>0</v>
      </c>
      <c r="J15" s="712">
        <v>0</v>
      </c>
      <c r="K15" s="712">
        <v>0</v>
      </c>
      <c r="L15" s="712">
        <v>1</v>
      </c>
      <c r="M15" s="712">
        <v>0</v>
      </c>
      <c r="N15" s="712">
        <v>0</v>
      </c>
      <c r="O15" s="713">
        <v>0</v>
      </c>
      <c r="P15" s="712">
        <v>0</v>
      </c>
      <c r="Q15" s="712">
        <v>0</v>
      </c>
      <c r="R15" s="712">
        <v>0</v>
      </c>
      <c r="S15" s="712">
        <v>0</v>
      </c>
      <c r="T15" s="1097">
        <v>0</v>
      </c>
      <c r="U15" s="861">
        <v>0</v>
      </c>
    </row>
    <row r="16" spans="1:21" ht="18" customHeight="1">
      <c r="A16" s="715" t="s">
        <v>295</v>
      </c>
      <c r="B16" s="716"/>
      <c r="C16" s="716"/>
      <c r="D16" s="716"/>
      <c r="E16" s="716"/>
      <c r="F16" s="716"/>
      <c r="G16" s="716"/>
      <c r="H16" s="716"/>
      <c r="I16" s="716"/>
      <c r="J16" s="716"/>
      <c r="K16" s="716"/>
      <c r="L16" s="716"/>
      <c r="M16" s="716"/>
      <c r="N16" s="716"/>
      <c r="O16" s="719"/>
      <c r="P16" s="716"/>
      <c r="Q16" s="716"/>
      <c r="R16" s="716"/>
      <c r="S16" s="716"/>
      <c r="T16" s="1100"/>
      <c r="U16" s="864"/>
    </row>
    <row r="17" spans="1:21" ht="18" customHeight="1">
      <c r="A17" s="711" t="s">
        <v>296</v>
      </c>
      <c r="B17" s="712" t="s">
        <v>90</v>
      </c>
      <c r="C17" s="712" t="s">
        <v>90</v>
      </c>
      <c r="D17" s="712" t="s">
        <v>90</v>
      </c>
      <c r="E17" s="712" t="s">
        <v>90</v>
      </c>
      <c r="F17" s="712">
        <v>3</v>
      </c>
      <c r="G17" s="712">
        <v>5</v>
      </c>
      <c r="H17" s="712">
        <v>14</v>
      </c>
      <c r="I17" s="712">
        <v>7</v>
      </c>
      <c r="J17" s="712">
        <v>10</v>
      </c>
      <c r="K17" s="712">
        <v>9</v>
      </c>
      <c r="L17" s="712">
        <v>10</v>
      </c>
      <c r="M17" s="714" t="s">
        <v>90</v>
      </c>
      <c r="N17" s="714" t="s">
        <v>90</v>
      </c>
      <c r="O17" s="720" t="s">
        <v>90</v>
      </c>
      <c r="P17" s="714" t="s">
        <v>90</v>
      </c>
      <c r="Q17" s="714" t="s">
        <v>90</v>
      </c>
      <c r="R17" s="714" t="s">
        <v>90</v>
      </c>
      <c r="S17" s="714" t="s">
        <v>90</v>
      </c>
      <c r="T17" s="1098" t="s">
        <v>90</v>
      </c>
      <c r="U17" s="862" t="s">
        <v>90</v>
      </c>
    </row>
    <row r="18" ht="12.75" customHeight="1"/>
    <row r="19" spans="1:22" s="53" customFormat="1" ht="12.75" customHeight="1">
      <c r="A19" s="53" t="s">
        <v>267</v>
      </c>
      <c r="B19" s="55"/>
      <c r="C19" s="54"/>
      <c r="D19" s="54"/>
      <c r="E19" s="54"/>
      <c r="F19" s="54"/>
      <c r="G19" s="54"/>
      <c r="H19" s="54"/>
      <c r="I19" s="54"/>
      <c r="J19" s="54"/>
      <c r="K19" s="54"/>
      <c r="L19" s="54"/>
      <c r="M19" s="54"/>
      <c r="N19" s="54"/>
      <c r="O19" s="721"/>
      <c r="P19" s="54"/>
      <c r="Q19" s="54"/>
      <c r="R19" s="54"/>
      <c r="S19" s="54"/>
      <c r="T19" s="54"/>
      <c r="U19" s="865"/>
      <c r="V19" s="65"/>
    </row>
    <row r="20" ht="12.75" customHeight="1">
      <c r="A20" s="53" t="s">
        <v>271</v>
      </c>
    </row>
    <row r="21" spans="2:22" s="722" customFormat="1" ht="12.75" customHeight="1">
      <c r="B21" s="723"/>
      <c r="C21" s="723"/>
      <c r="D21" s="723"/>
      <c r="E21" s="723"/>
      <c r="F21" s="723"/>
      <c r="G21" s="723"/>
      <c r="H21" s="723"/>
      <c r="I21" s="723"/>
      <c r="J21" s="723"/>
      <c r="K21" s="723"/>
      <c r="L21" s="723"/>
      <c r="M21" s="723"/>
      <c r="N21" s="723"/>
      <c r="O21" s="724"/>
      <c r="P21" s="723"/>
      <c r="Q21" s="723"/>
      <c r="R21" s="723"/>
      <c r="S21" s="723"/>
      <c r="T21" s="723"/>
      <c r="U21" s="866"/>
      <c r="V21" s="725"/>
    </row>
    <row r="22" spans="1:21" ht="12.75">
      <c r="A22" s="53" t="s">
        <v>660</v>
      </c>
      <c r="C22" s="65"/>
      <c r="D22" s="65"/>
      <c r="E22" s="65"/>
      <c r="F22" s="65"/>
      <c r="G22" s="65"/>
      <c r="H22" s="65"/>
      <c r="I22" s="65"/>
      <c r="J22" s="65"/>
      <c r="K22" s="65"/>
      <c r="L22" s="65"/>
      <c r="M22" s="65"/>
      <c r="N22" s="65"/>
      <c r="O22" s="379"/>
      <c r="P22" s="65"/>
      <c r="Q22" s="65"/>
      <c r="R22" s="65"/>
      <c r="S22" s="65"/>
      <c r="T22" s="1068"/>
      <c r="U22" s="753"/>
    </row>
    <row r="23" spans="1:25" ht="12.75">
      <c r="A23" s="1118" t="s">
        <v>864</v>
      </c>
      <c r="B23" s="1118"/>
      <c r="C23" s="1118"/>
      <c r="D23" s="1118"/>
      <c r="E23" s="1118"/>
      <c r="F23" s="1118"/>
      <c r="G23" s="1118"/>
      <c r="H23" s="1118"/>
      <c r="I23" s="1118"/>
      <c r="J23" s="1118"/>
      <c r="K23" s="1118"/>
      <c r="L23" s="1118"/>
      <c r="M23" s="1118"/>
      <c r="N23" s="1118"/>
      <c r="O23" s="1118"/>
      <c r="P23" s="1118"/>
      <c r="Q23" s="1118"/>
      <c r="R23" s="1118"/>
      <c r="S23" s="1118"/>
      <c r="T23" s="1118"/>
      <c r="U23" s="1118"/>
      <c r="V23" s="616"/>
      <c r="W23" s="616"/>
      <c r="X23" s="616"/>
      <c r="Y23" s="616"/>
    </row>
    <row r="24" spans="1:26" ht="12.75">
      <c r="A24" s="1118" t="s">
        <v>875</v>
      </c>
      <c r="B24" s="1118"/>
      <c r="C24" s="1118"/>
      <c r="D24" s="1118"/>
      <c r="E24" s="1118"/>
      <c r="F24" s="1118"/>
      <c r="G24" s="1118"/>
      <c r="H24" s="1118"/>
      <c r="I24" s="1118"/>
      <c r="J24" s="1118"/>
      <c r="K24" s="1118"/>
      <c r="L24" s="1118"/>
      <c r="M24" s="1118"/>
      <c r="N24" s="1118"/>
      <c r="O24" s="1118"/>
      <c r="P24" s="1118"/>
      <c r="Q24" s="1118"/>
      <c r="R24" s="1118"/>
      <c r="S24" s="1118"/>
      <c r="T24" s="1118"/>
      <c r="U24" s="1118"/>
      <c r="V24" s="616"/>
      <c r="W24" s="616"/>
      <c r="X24" s="616"/>
      <c r="Y24" s="616"/>
      <c r="Z24" s="616"/>
    </row>
    <row r="25" ht="12.75">
      <c r="A25" s="53"/>
    </row>
    <row r="26" ht="12.75">
      <c r="A26" s="53"/>
    </row>
    <row r="42" spans="1:2" ht="12.75">
      <c r="A42" s="53"/>
      <c r="B42" s="53"/>
    </row>
  </sheetData>
  <sheetProtection/>
  <mergeCells count="5">
    <mergeCell ref="A1:U1"/>
    <mergeCell ref="A3:U3"/>
    <mergeCell ref="A4:U4"/>
    <mergeCell ref="A23:U23"/>
    <mergeCell ref="A24:U24"/>
  </mergeCells>
  <printOptions horizontalCentered="1"/>
  <pageMargins left="0.7900000000000001" right="0.7900000000000001" top="1.18" bottom="0.7900000000000001" header="0" footer="0"/>
  <pageSetup fitToHeight="1" fitToWidth="1" horizontalDpi="600" verticalDpi="600" orientation="landscape" scale="52"/>
</worksheet>
</file>

<file path=xl/worksheets/sheet28.xml><?xml version="1.0" encoding="utf-8"?>
<worksheet xmlns="http://schemas.openxmlformats.org/spreadsheetml/2006/main" xmlns:r="http://schemas.openxmlformats.org/officeDocument/2006/relationships">
  <sheetPr>
    <tabColor theme="9" tint="-0.24997000396251678"/>
    <pageSetUpPr fitToPage="1"/>
  </sheetPr>
  <dimension ref="A1:Z22"/>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1" sqref="A1:Z1"/>
    </sheetView>
  </sheetViews>
  <sheetFormatPr defaultColWidth="10.8515625" defaultRowHeight="12.75"/>
  <cols>
    <col min="1" max="1" width="64.7109375" style="65" customWidth="1"/>
    <col min="2" max="24" width="8.421875" style="65" customWidth="1"/>
    <col min="25" max="25" width="8.421875" style="1066" customWidth="1"/>
    <col min="26" max="26" width="8.421875" style="753" customWidth="1"/>
    <col min="27" max="16384" width="10.8515625" style="65" customWidth="1"/>
  </cols>
  <sheetData>
    <row r="1" spans="1:26" ht="12.75">
      <c r="A1" s="1171" t="s">
        <v>297</v>
      </c>
      <c r="B1" s="1171"/>
      <c r="C1" s="1171"/>
      <c r="D1" s="1171"/>
      <c r="E1" s="1171"/>
      <c r="F1" s="1171"/>
      <c r="G1" s="1171"/>
      <c r="H1" s="1171"/>
      <c r="I1" s="1171"/>
      <c r="J1" s="1171"/>
      <c r="K1" s="1171"/>
      <c r="L1" s="1171"/>
      <c r="M1" s="1171"/>
      <c r="N1" s="1171"/>
      <c r="O1" s="1171"/>
      <c r="P1" s="1171"/>
      <c r="Q1" s="1171"/>
      <c r="R1" s="1171"/>
      <c r="S1" s="1171"/>
      <c r="T1" s="1171"/>
      <c r="U1" s="1171"/>
      <c r="V1" s="1171"/>
      <c r="W1" s="1171"/>
      <c r="X1" s="1171"/>
      <c r="Y1" s="1171"/>
      <c r="Z1" s="1123"/>
    </row>
    <row r="2" spans="1:11" ht="12.75">
      <c r="A2" s="393"/>
      <c r="B2" s="393"/>
      <c r="C2" s="393"/>
      <c r="D2" s="393"/>
      <c r="E2" s="393"/>
      <c r="F2" s="393"/>
      <c r="G2" s="393"/>
      <c r="H2" s="393"/>
      <c r="I2" s="393"/>
      <c r="J2" s="393"/>
      <c r="K2" s="393"/>
    </row>
    <row r="3" spans="1:26" ht="18" customHeight="1">
      <c r="A3" s="1116" t="s">
        <v>298</v>
      </c>
      <c r="B3" s="1116"/>
      <c r="C3" s="1116"/>
      <c r="D3" s="1116"/>
      <c r="E3" s="1116"/>
      <c r="F3" s="1116"/>
      <c r="G3" s="1116"/>
      <c r="H3" s="1116"/>
      <c r="I3" s="1116"/>
      <c r="J3" s="1116"/>
      <c r="K3" s="1116"/>
      <c r="L3" s="1116"/>
      <c r="M3" s="1116"/>
      <c r="N3" s="1116"/>
      <c r="O3" s="1116"/>
      <c r="P3" s="1116"/>
      <c r="Q3" s="1116"/>
      <c r="R3" s="1116"/>
      <c r="S3" s="1116"/>
      <c r="T3" s="1116"/>
      <c r="U3" s="1116"/>
      <c r="V3" s="1116"/>
      <c r="W3" s="1116"/>
      <c r="X3" s="1116"/>
      <c r="Y3" s="1116"/>
      <c r="Z3" s="1123"/>
    </row>
    <row r="4" spans="1:26" ht="18" customHeight="1">
      <c r="A4" s="1117" t="s">
        <v>851</v>
      </c>
      <c r="B4" s="1117"/>
      <c r="C4" s="1117"/>
      <c r="D4" s="1117"/>
      <c r="E4" s="1117"/>
      <c r="F4" s="1117"/>
      <c r="G4" s="1117"/>
      <c r="H4" s="1117"/>
      <c r="I4" s="1117"/>
      <c r="J4" s="1117"/>
      <c r="K4" s="1117"/>
      <c r="L4" s="1117"/>
      <c r="M4" s="1117"/>
      <c r="N4" s="1117"/>
      <c r="O4" s="1117"/>
      <c r="P4" s="1117"/>
      <c r="Q4" s="1117"/>
      <c r="R4" s="1117"/>
      <c r="S4" s="1117"/>
      <c r="T4" s="1117"/>
      <c r="U4" s="1117"/>
      <c r="V4" s="1117"/>
      <c r="W4" s="1117"/>
      <c r="X4" s="1117"/>
      <c r="Y4" s="1117"/>
      <c r="Z4" s="1125"/>
    </row>
    <row r="5" ht="18" customHeight="1"/>
    <row r="6" spans="1:26" ht="18" customHeight="1">
      <c r="A6" s="521"/>
      <c r="B6" s="509">
        <v>2000</v>
      </c>
      <c r="C6" s="509">
        <v>2001</v>
      </c>
      <c r="D6" s="509">
        <v>2002</v>
      </c>
      <c r="E6" s="509">
        <v>2003</v>
      </c>
      <c r="F6" s="509">
        <v>2004</v>
      </c>
      <c r="G6" s="509">
        <v>2005</v>
      </c>
      <c r="H6" s="509">
        <v>2006</v>
      </c>
      <c r="I6" s="509">
        <v>2007</v>
      </c>
      <c r="J6" s="509">
        <v>2008</v>
      </c>
      <c r="K6" s="509">
        <v>2009</v>
      </c>
      <c r="L6" s="509">
        <v>2010</v>
      </c>
      <c r="M6" s="509">
        <v>2011</v>
      </c>
      <c r="N6" s="509">
        <v>2012</v>
      </c>
      <c r="O6" s="509">
        <v>2013</v>
      </c>
      <c r="P6" s="509">
        <v>2014</v>
      </c>
      <c r="Q6" s="509">
        <v>2015</v>
      </c>
      <c r="R6" s="509">
        <v>2016</v>
      </c>
      <c r="S6" s="509">
        <v>2017</v>
      </c>
      <c r="T6" s="509">
        <v>2018</v>
      </c>
      <c r="U6" s="509">
        <v>2019</v>
      </c>
      <c r="V6" s="509">
        <v>2020</v>
      </c>
      <c r="W6" s="509">
        <v>2021</v>
      </c>
      <c r="X6" s="509">
        <v>2022</v>
      </c>
      <c r="Y6" s="509">
        <v>2023</v>
      </c>
      <c r="Z6" s="802">
        <v>2024</v>
      </c>
    </row>
    <row r="7" spans="1:26" ht="18" customHeight="1">
      <c r="A7" s="358" t="s">
        <v>299</v>
      </c>
      <c r="B7" s="511">
        <f aca="true" t="shared" si="0" ref="B7:Z7">SUM(B9:B16)</f>
        <v>2247</v>
      </c>
      <c r="C7" s="511">
        <f t="shared" si="0"/>
        <v>2352</v>
      </c>
      <c r="D7" s="511">
        <f t="shared" si="0"/>
        <v>2322</v>
      </c>
      <c r="E7" s="511">
        <f t="shared" si="0"/>
        <v>2561</v>
      </c>
      <c r="F7" s="511">
        <f t="shared" si="0"/>
        <v>2733</v>
      </c>
      <c r="G7" s="511">
        <f t="shared" si="0"/>
        <v>2844</v>
      </c>
      <c r="H7" s="511">
        <f t="shared" si="0"/>
        <v>2965</v>
      </c>
      <c r="I7" s="511">
        <f t="shared" si="0"/>
        <v>3155</v>
      </c>
      <c r="J7" s="511">
        <f t="shared" si="0"/>
        <v>3251</v>
      </c>
      <c r="K7" s="511">
        <f t="shared" si="0"/>
        <v>3374</v>
      </c>
      <c r="L7" s="511">
        <f t="shared" si="0"/>
        <v>3442</v>
      </c>
      <c r="M7" s="511">
        <f t="shared" si="0"/>
        <v>3577</v>
      </c>
      <c r="N7" s="511">
        <f t="shared" si="0"/>
        <v>3624</v>
      </c>
      <c r="O7" s="511">
        <f t="shared" si="0"/>
        <v>3733</v>
      </c>
      <c r="P7" s="511">
        <f t="shared" si="0"/>
        <v>3952</v>
      </c>
      <c r="Q7" s="511">
        <f t="shared" si="0"/>
        <v>4202</v>
      </c>
      <c r="R7" s="511">
        <f t="shared" si="0"/>
        <v>4314</v>
      </c>
      <c r="S7" s="511">
        <f t="shared" si="0"/>
        <v>4598</v>
      </c>
      <c r="T7" s="511">
        <f t="shared" si="0"/>
        <v>4736</v>
      </c>
      <c r="U7" s="511">
        <f t="shared" si="0"/>
        <v>4812</v>
      </c>
      <c r="V7" s="511">
        <f>SUM(V9:V16)</f>
        <v>4943</v>
      </c>
      <c r="W7" s="511">
        <f>SUM(W9:W16)</f>
        <v>5227</v>
      </c>
      <c r="X7" s="511">
        <f>SUM(X9:X16)</f>
        <v>5430</v>
      </c>
      <c r="Y7" s="511">
        <f>SUM(Y9:Y16)</f>
        <v>5986</v>
      </c>
      <c r="Z7" s="803">
        <f t="shared" si="0"/>
        <v>5645</v>
      </c>
    </row>
    <row r="8" spans="1:26" ht="18" customHeight="1">
      <c r="A8" s="358" t="s">
        <v>300</v>
      </c>
      <c r="B8" s="726">
        <v>0.3373386737872719</v>
      </c>
      <c r="C8" s="726">
        <v>0.33715986394557823</v>
      </c>
      <c r="D8" s="726">
        <v>0.3350559862187769</v>
      </c>
      <c r="E8" s="726">
        <v>0.3479109722764545</v>
      </c>
      <c r="F8" s="726">
        <v>0.3556531284302964</v>
      </c>
      <c r="G8" s="726">
        <v>0.3618143459915612</v>
      </c>
      <c r="H8" s="726">
        <v>0.3618887015177066</v>
      </c>
      <c r="I8" s="726">
        <v>0.36798732171156895</v>
      </c>
      <c r="J8" s="726">
        <v>0.3777299292525377</v>
      </c>
      <c r="K8" s="726">
        <v>0.37225844694724364</v>
      </c>
      <c r="L8" s="726">
        <v>0.38611272515979084</v>
      </c>
      <c r="M8" s="726">
        <v>0.38611272515979084</v>
      </c>
      <c r="N8" s="726">
        <v>0.38611272515979084</v>
      </c>
      <c r="O8" s="726">
        <v>0.38611272515979084</v>
      </c>
      <c r="P8" s="726">
        <v>0.39</v>
      </c>
      <c r="Q8" s="726">
        <v>0.399</v>
      </c>
      <c r="R8" s="726">
        <v>0.399</v>
      </c>
      <c r="S8" s="726">
        <v>0.401</v>
      </c>
      <c r="T8" s="726">
        <v>0.4</v>
      </c>
      <c r="U8" s="726">
        <v>0.4</v>
      </c>
      <c r="V8" s="726">
        <v>0.40683795266032774</v>
      </c>
      <c r="W8" s="726">
        <v>0.40195140616032143</v>
      </c>
      <c r="X8" s="726">
        <v>0.4009</v>
      </c>
      <c r="Y8" s="726">
        <v>0.414</v>
      </c>
      <c r="Z8" s="978">
        <v>0.414</v>
      </c>
    </row>
    <row r="9" spans="1:26" ht="18" customHeight="1">
      <c r="A9" s="512" t="s">
        <v>301</v>
      </c>
      <c r="B9" s="374">
        <v>372</v>
      </c>
      <c r="C9" s="374">
        <v>391</v>
      </c>
      <c r="D9" s="374">
        <v>389</v>
      </c>
      <c r="E9" s="374">
        <v>429</v>
      </c>
      <c r="F9" s="374">
        <v>450</v>
      </c>
      <c r="G9" s="374">
        <v>475</v>
      </c>
      <c r="H9" s="374">
        <v>506</v>
      </c>
      <c r="I9" s="374">
        <v>555</v>
      </c>
      <c r="J9" s="374">
        <v>570</v>
      </c>
      <c r="K9" s="374">
        <v>594</v>
      </c>
      <c r="L9" s="374">
        <v>611</v>
      </c>
      <c r="M9" s="374">
        <v>628</v>
      </c>
      <c r="N9" s="374">
        <v>628</v>
      </c>
      <c r="O9" s="374">
        <v>632</v>
      </c>
      <c r="P9" s="374">
        <v>661</v>
      </c>
      <c r="Q9" s="374">
        <v>704</v>
      </c>
      <c r="R9" s="374">
        <v>743</v>
      </c>
      <c r="S9" s="374">
        <v>772</v>
      </c>
      <c r="T9" s="374">
        <v>788</v>
      </c>
      <c r="U9" s="374">
        <v>812</v>
      </c>
      <c r="V9" s="374">
        <v>807</v>
      </c>
      <c r="W9" s="374">
        <v>825</v>
      </c>
      <c r="X9" s="986">
        <v>817</v>
      </c>
      <c r="Y9" s="986">
        <v>769</v>
      </c>
      <c r="Z9" s="979">
        <v>839</v>
      </c>
    </row>
    <row r="10" spans="1:26" ht="18" customHeight="1">
      <c r="A10" s="512" t="s">
        <v>203</v>
      </c>
      <c r="B10" s="374">
        <v>1199</v>
      </c>
      <c r="C10" s="374">
        <v>1263</v>
      </c>
      <c r="D10" s="374">
        <v>1242</v>
      </c>
      <c r="E10" s="374">
        <v>1352</v>
      </c>
      <c r="F10" s="374">
        <v>1437</v>
      </c>
      <c r="G10" s="374">
        <v>1489</v>
      </c>
      <c r="H10" s="374">
        <v>1533</v>
      </c>
      <c r="I10" s="374">
        <v>1578</v>
      </c>
      <c r="J10" s="374">
        <v>1602</v>
      </c>
      <c r="K10" s="374">
        <v>1645</v>
      </c>
      <c r="L10" s="374">
        <v>1683</v>
      </c>
      <c r="M10" s="374">
        <v>1764</v>
      </c>
      <c r="N10" s="374">
        <v>1798</v>
      </c>
      <c r="O10" s="374">
        <v>1857</v>
      </c>
      <c r="P10" s="374">
        <v>1946</v>
      </c>
      <c r="Q10" s="374">
        <v>2062</v>
      </c>
      <c r="R10" s="374">
        <v>2076</v>
      </c>
      <c r="S10" s="374">
        <v>2174</v>
      </c>
      <c r="T10" s="374">
        <v>2129</v>
      </c>
      <c r="U10" s="374">
        <v>2201</v>
      </c>
      <c r="V10" s="374">
        <v>2229</v>
      </c>
      <c r="W10" s="374">
        <v>2297</v>
      </c>
      <c r="X10" s="986">
        <v>2190</v>
      </c>
      <c r="Y10" s="986">
        <v>1832</v>
      </c>
      <c r="Z10" s="979">
        <v>2077</v>
      </c>
    </row>
    <row r="11" spans="1:26" ht="18" customHeight="1">
      <c r="A11" s="512" t="s">
        <v>200</v>
      </c>
      <c r="B11" s="374">
        <v>556</v>
      </c>
      <c r="C11" s="374">
        <v>570</v>
      </c>
      <c r="D11" s="374">
        <v>567</v>
      </c>
      <c r="E11" s="374">
        <v>635</v>
      </c>
      <c r="F11" s="374">
        <v>686</v>
      </c>
      <c r="G11" s="374">
        <v>708</v>
      </c>
      <c r="H11" s="374">
        <v>729</v>
      </c>
      <c r="I11" s="374">
        <v>802</v>
      </c>
      <c r="J11" s="374">
        <v>844</v>
      </c>
      <c r="K11" s="374">
        <v>892</v>
      </c>
      <c r="L11" s="374">
        <v>892</v>
      </c>
      <c r="M11" s="374">
        <v>923</v>
      </c>
      <c r="N11" s="374">
        <v>936</v>
      </c>
      <c r="O11" s="374">
        <v>952</v>
      </c>
      <c r="P11" s="374">
        <v>1008</v>
      </c>
      <c r="Q11" s="374">
        <v>1057</v>
      </c>
      <c r="R11" s="374">
        <v>1098</v>
      </c>
      <c r="S11" s="374">
        <v>1175</v>
      </c>
      <c r="T11" s="374">
        <v>1251</v>
      </c>
      <c r="U11" s="374">
        <v>1224</v>
      </c>
      <c r="V11" s="374">
        <v>1317</v>
      </c>
      <c r="W11" s="374">
        <v>1454</v>
      </c>
      <c r="X11" s="986">
        <v>1685</v>
      </c>
      <c r="Y11" s="986">
        <v>2420</v>
      </c>
      <c r="Z11" s="979">
        <v>1816</v>
      </c>
    </row>
    <row r="12" spans="1:26" ht="18" customHeight="1">
      <c r="A12" s="512" t="s">
        <v>302</v>
      </c>
      <c r="B12" s="374">
        <v>97</v>
      </c>
      <c r="C12" s="374">
        <v>104</v>
      </c>
      <c r="D12" s="374">
        <v>102</v>
      </c>
      <c r="E12" s="374">
        <v>117</v>
      </c>
      <c r="F12" s="374">
        <v>129</v>
      </c>
      <c r="G12" s="374">
        <v>135</v>
      </c>
      <c r="H12" s="374">
        <v>157</v>
      </c>
      <c r="I12" s="374">
        <v>186</v>
      </c>
      <c r="J12" s="374">
        <v>198</v>
      </c>
      <c r="K12" s="374">
        <v>205</v>
      </c>
      <c r="L12" s="374">
        <v>212</v>
      </c>
      <c r="M12" s="374">
        <v>226</v>
      </c>
      <c r="N12" s="374">
        <v>229</v>
      </c>
      <c r="O12" s="374">
        <v>255</v>
      </c>
      <c r="P12" s="374">
        <v>281</v>
      </c>
      <c r="Q12" s="374">
        <v>339</v>
      </c>
      <c r="R12" s="374">
        <v>356</v>
      </c>
      <c r="S12" s="374">
        <v>411</v>
      </c>
      <c r="T12" s="374">
        <v>434</v>
      </c>
      <c r="U12" s="374">
        <v>468</v>
      </c>
      <c r="V12" s="374">
        <v>502</v>
      </c>
      <c r="W12" s="374">
        <v>566</v>
      </c>
      <c r="X12" s="986">
        <v>618</v>
      </c>
      <c r="Y12" s="986">
        <v>801</v>
      </c>
      <c r="Z12" s="979">
        <v>682</v>
      </c>
    </row>
    <row r="13" spans="1:26" ht="18" customHeight="1">
      <c r="A13" s="512" t="s">
        <v>201</v>
      </c>
      <c r="B13" s="374">
        <v>5</v>
      </c>
      <c r="C13" s="374">
        <v>6</v>
      </c>
      <c r="D13" s="374">
        <v>6</v>
      </c>
      <c r="E13" s="374">
        <v>7</v>
      </c>
      <c r="F13" s="374">
        <v>7</v>
      </c>
      <c r="G13" s="374">
        <v>8</v>
      </c>
      <c r="H13" s="374">
        <v>8</v>
      </c>
      <c r="I13" s="374">
        <v>10</v>
      </c>
      <c r="J13" s="374">
        <v>12</v>
      </c>
      <c r="K13" s="374">
        <v>13</v>
      </c>
      <c r="L13" s="374">
        <v>12</v>
      </c>
      <c r="M13" s="374">
        <v>13</v>
      </c>
      <c r="N13" s="374">
        <v>16</v>
      </c>
      <c r="O13" s="374">
        <v>14</v>
      </c>
      <c r="P13" s="374">
        <v>7</v>
      </c>
      <c r="Q13" s="374">
        <v>8</v>
      </c>
      <c r="R13" s="374">
        <v>6</v>
      </c>
      <c r="S13" s="374">
        <v>7</v>
      </c>
      <c r="T13" s="374">
        <v>16</v>
      </c>
      <c r="U13" s="374">
        <v>21</v>
      </c>
      <c r="V13" s="374">
        <v>22</v>
      </c>
      <c r="W13" s="374">
        <v>24</v>
      </c>
      <c r="X13" s="986">
        <v>23</v>
      </c>
      <c r="Y13" s="986">
        <v>64</v>
      </c>
      <c r="Z13" s="979">
        <v>120</v>
      </c>
    </row>
    <row r="14" spans="1:26" ht="18" customHeight="1">
      <c r="A14" s="512" t="s">
        <v>303</v>
      </c>
      <c r="B14" s="519" t="s">
        <v>90</v>
      </c>
      <c r="C14" s="519" t="s">
        <v>90</v>
      </c>
      <c r="D14" s="519" t="s">
        <v>90</v>
      </c>
      <c r="E14" s="519" t="s">
        <v>90</v>
      </c>
      <c r="F14" s="374">
        <v>2</v>
      </c>
      <c r="G14" s="374">
        <v>2</v>
      </c>
      <c r="H14" s="374">
        <v>4</v>
      </c>
      <c r="I14" s="374">
        <v>1</v>
      </c>
      <c r="J14" s="374">
        <v>1</v>
      </c>
      <c r="K14" s="374">
        <v>1</v>
      </c>
      <c r="L14" s="374">
        <v>1</v>
      </c>
      <c r="M14" s="374">
        <v>1</v>
      </c>
      <c r="N14" s="374">
        <v>1</v>
      </c>
      <c r="O14" s="374">
        <v>2</v>
      </c>
      <c r="P14" s="374">
        <v>2</v>
      </c>
      <c r="Q14" s="374">
        <v>3</v>
      </c>
      <c r="R14" s="374">
        <v>3</v>
      </c>
      <c r="S14" s="374">
        <v>3</v>
      </c>
      <c r="T14" s="374">
        <v>7</v>
      </c>
      <c r="U14" s="374">
        <v>5</v>
      </c>
      <c r="V14" s="374">
        <v>4</v>
      </c>
      <c r="W14" s="374">
        <v>5</v>
      </c>
      <c r="X14" s="986">
        <v>5</v>
      </c>
      <c r="Y14" s="986">
        <v>8</v>
      </c>
      <c r="Z14" s="979">
        <v>6</v>
      </c>
    </row>
    <row r="15" spans="1:26" ht="18" customHeight="1">
      <c r="A15" s="512" t="s">
        <v>96</v>
      </c>
      <c r="B15" s="374">
        <v>1</v>
      </c>
      <c r="C15" s="374"/>
      <c r="D15" s="374"/>
      <c r="E15" s="374">
        <v>1</v>
      </c>
      <c r="F15" s="374">
        <v>2</v>
      </c>
      <c r="G15" s="374">
        <v>2</v>
      </c>
      <c r="H15" s="374">
        <v>1</v>
      </c>
      <c r="I15" s="374">
        <v>1</v>
      </c>
      <c r="J15" s="374">
        <v>1</v>
      </c>
      <c r="K15" s="374">
        <v>1</v>
      </c>
      <c r="L15" s="374">
        <v>1</v>
      </c>
      <c r="M15" s="374">
        <v>2</v>
      </c>
      <c r="N15" s="374">
        <v>2</v>
      </c>
      <c r="O15" s="374">
        <v>3</v>
      </c>
      <c r="P15" s="374">
        <v>3</v>
      </c>
      <c r="Q15" s="374">
        <v>3</v>
      </c>
      <c r="R15" s="374">
        <v>4</v>
      </c>
      <c r="S15" s="374">
        <v>3</v>
      </c>
      <c r="T15" s="374">
        <v>10</v>
      </c>
      <c r="U15" s="374">
        <v>4</v>
      </c>
      <c r="V15" s="374">
        <v>5</v>
      </c>
      <c r="W15" s="374">
        <v>9</v>
      </c>
      <c r="X15" s="986">
        <v>10</v>
      </c>
      <c r="Y15" s="986">
        <v>15</v>
      </c>
      <c r="Z15" s="979">
        <v>8</v>
      </c>
    </row>
    <row r="16" spans="1:26" ht="18" customHeight="1">
      <c r="A16" s="512" t="s">
        <v>205</v>
      </c>
      <c r="B16" s="374">
        <v>17</v>
      </c>
      <c r="C16" s="374">
        <v>18</v>
      </c>
      <c r="D16" s="374">
        <v>16</v>
      </c>
      <c r="E16" s="374">
        <v>20</v>
      </c>
      <c r="F16" s="374">
        <v>20</v>
      </c>
      <c r="G16" s="374">
        <v>25</v>
      </c>
      <c r="H16" s="374">
        <v>27</v>
      </c>
      <c r="I16" s="374">
        <v>22</v>
      </c>
      <c r="J16" s="374">
        <v>23</v>
      </c>
      <c r="K16" s="374">
        <v>23</v>
      </c>
      <c r="L16" s="374">
        <v>30</v>
      </c>
      <c r="M16" s="374">
        <v>20</v>
      </c>
      <c r="N16" s="374">
        <v>14</v>
      </c>
      <c r="O16" s="374">
        <v>18</v>
      </c>
      <c r="P16" s="374">
        <v>44</v>
      </c>
      <c r="Q16" s="374">
        <v>26</v>
      </c>
      <c r="R16" s="374">
        <v>28</v>
      </c>
      <c r="S16" s="374">
        <v>53</v>
      </c>
      <c r="T16" s="374">
        <v>101</v>
      </c>
      <c r="U16" s="374">
        <v>77</v>
      </c>
      <c r="V16" s="374">
        <v>57</v>
      </c>
      <c r="W16" s="374">
        <v>47</v>
      </c>
      <c r="X16" s="986">
        <v>82</v>
      </c>
      <c r="Y16" s="986">
        <v>77</v>
      </c>
      <c r="Z16" s="979">
        <v>97</v>
      </c>
    </row>
    <row r="17" ht="13.5" customHeight="1"/>
    <row r="18" ht="13.5" customHeight="1">
      <c r="A18" s="53" t="s">
        <v>304</v>
      </c>
    </row>
    <row r="19" ht="13.5" customHeight="1">
      <c r="A19" s="53"/>
    </row>
    <row r="20" spans="1:26" s="53" customFormat="1" ht="13.5" customHeight="1">
      <c r="A20" s="980" t="s">
        <v>862</v>
      </c>
      <c r="B20" s="771"/>
      <c r="C20" s="771"/>
      <c r="D20" s="771"/>
      <c r="E20" s="771"/>
      <c r="F20" s="771"/>
      <c r="G20" s="771"/>
      <c r="H20" s="771"/>
      <c r="I20" s="771"/>
      <c r="J20" s="771"/>
      <c r="K20" s="771"/>
      <c r="L20" s="771"/>
      <c r="M20" s="771"/>
      <c r="N20" s="771"/>
      <c r="O20" s="771"/>
      <c r="P20" s="771"/>
      <c r="Q20" s="771"/>
      <c r="R20" s="771"/>
      <c r="S20" s="771"/>
      <c r="T20" s="771"/>
      <c r="U20" s="771"/>
      <c r="V20" s="771"/>
      <c r="W20" s="771"/>
      <c r="Z20" s="771"/>
    </row>
    <row r="21" spans="1:26" ht="13.5" customHeight="1">
      <c r="A21" s="1118" t="s">
        <v>860</v>
      </c>
      <c r="B21" s="1118"/>
      <c r="C21" s="1118"/>
      <c r="D21" s="1118"/>
      <c r="E21" s="1118"/>
      <c r="F21" s="1118"/>
      <c r="G21" s="1118"/>
      <c r="H21" s="1118"/>
      <c r="I21" s="1118"/>
      <c r="J21" s="1118"/>
      <c r="K21" s="1118"/>
      <c r="L21" s="1118"/>
      <c r="M21" s="1118"/>
      <c r="N21" s="1118"/>
      <c r="O21" s="1118"/>
      <c r="P21" s="1118"/>
      <c r="Q21" s="1118"/>
      <c r="R21" s="1118"/>
      <c r="S21" s="1118"/>
      <c r="T21" s="1118"/>
      <c r="U21" s="1118"/>
      <c r="V21" s="1118"/>
      <c r="W21" s="1118"/>
      <c r="X21" s="1118"/>
      <c r="Y21" s="1118"/>
      <c r="Z21" s="1125"/>
    </row>
    <row r="22" spans="1:26" ht="13.5" customHeight="1">
      <c r="A22" s="1118" t="s">
        <v>861</v>
      </c>
      <c r="B22" s="1118"/>
      <c r="C22" s="1118"/>
      <c r="D22" s="1118"/>
      <c r="E22" s="1118"/>
      <c r="F22" s="1118"/>
      <c r="G22" s="1118"/>
      <c r="H22" s="1118"/>
      <c r="I22" s="1118"/>
      <c r="J22" s="1118"/>
      <c r="K22" s="1118"/>
      <c r="L22" s="1118"/>
      <c r="M22" s="1118"/>
      <c r="N22" s="1118"/>
      <c r="O22" s="1118"/>
      <c r="P22" s="1118"/>
      <c r="Q22" s="1118"/>
      <c r="R22" s="1118"/>
      <c r="S22" s="1118"/>
      <c r="T22" s="1118"/>
      <c r="U22" s="1118"/>
      <c r="V22" s="1118"/>
      <c r="W22" s="1118"/>
      <c r="X22" s="1118"/>
      <c r="Y22" s="1118"/>
      <c r="Z22" s="1118"/>
    </row>
  </sheetData>
  <sheetProtection/>
  <mergeCells count="5">
    <mergeCell ref="A1:Z1"/>
    <mergeCell ref="A3:Z3"/>
    <mergeCell ref="A4:Z4"/>
    <mergeCell ref="A21:Z21"/>
    <mergeCell ref="A22:Z22"/>
  </mergeCells>
  <printOptions horizontalCentered="1"/>
  <pageMargins left="0.7900000000000001" right="0.7900000000000001" top="1.18" bottom="0.7900000000000001" header="0" footer="0"/>
  <pageSetup fitToHeight="1" fitToWidth="1" horizontalDpi="600" verticalDpi="600" orientation="landscape" scale="48" r:id="rId1"/>
</worksheet>
</file>

<file path=xl/worksheets/sheet29.xml><?xml version="1.0" encoding="utf-8"?>
<worksheet xmlns="http://schemas.openxmlformats.org/spreadsheetml/2006/main" xmlns:r="http://schemas.openxmlformats.org/officeDocument/2006/relationships">
  <sheetPr>
    <tabColor theme="9" tint="-0.24997000396251678"/>
    <pageSetUpPr fitToPage="1"/>
  </sheetPr>
  <dimension ref="A1:AA27"/>
  <sheetViews>
    <sheetView zoomScalePageLayoutView="0" workbookViewId="0" topLeftCell="A1">
      <pane xSplit="1" ySplit="7" topLeftCell="G8" activePane="bottomRight" state="frozen"/>
      <selection pane="topLeft" activeCell="A1" sqref="A1"/>
      <selection pane="topRight" activeCell="B1" sqref="B1"/>
      <selection pane="bottomLeft" activeCell="A8" sqref="A8"/>
      <selection pane="bottomRight" activeCell="A5" sqref="A5"/>
    </sheetView>
  </sheetViews>
  <sheetFormatPr defaultColWidth="11.421875" defaultRowHeight="12.75"/>
  <cols>
    <col min="1" max="1" width="17.421875" style="0" customWidth="1"/>
    <col min="18" max="25" width="11.421875" style="2" customWidth="1"/>
    <col min="26" max="26" width="11.421875" style="385" customWidth="1"/>
  </cols>
  <sheetData>
    <row r="1" spans="1:26" ht="12.75">
      <c r="A1" s="1186" t="s">
        <v>305</v>
      </c>
      <c r="B1" s="1187"/>
      <c r="C1" s="1187"/>
      <c r="D1" s="1187"/>
      <c r="E1" s="1187"/>
      <c r="F1" s="1187"/>
      <c r="G1" s="1187"/>
      <c r="H1" s="1187"/>
      <c r="I1" s="1187"/>
      <c r="J1" s="1187"/>
      <c r="K1" s="1187"/>
      <c r="L1" s="1187"/>
      <c r="M1" s="1187"/>
      <c r="N1" s="1187"/>
      <c r="O1" s="1187"/>
      <c r="P1" s="1187"/>
      <c r="Q1" s="1187"/>
      <c r="R1" s="1187"/>
      <c r="S1" s="1187"/>
      <c r="T1" s="1187"/>
      <c r="U1" s="1187"/>
      <c r="V1" s="1187"/>
      <c r="W1" s="1187"/>
      <c r="X1" s="1187"/>
      <c r="Y1" s="1187"/>
      <c r="Z1" s="1187"/>
    </row>
    <row r="2" spans="1:26" ht="12.75">
      <c r="A2" s="44"/>
      <c r="B2" s="44"/>
      <c r="C2" s="44"/>
      <c r="D2" s="44"/>
      <c r="E2" s="44"/>
      <c r="F2" s="44"/>
      <c r="G2" s="44"/>
      <c r="H2" s="44"/>
      <c r="I2" s="44"/>
      <c r="J2" s="44"/>
      <c r="K2" s="44"/>
      <c r="L2" s="45"/>
      <c r="M2" s="45"/>
      <c r="N2" s="45"/>
      <c r="O2" s="45"/>
      <c r="P2" s="45"/>
      <c r="Q2" s="45"/>
      <c r="R2" s="64"/>
      <c r="S2" s="64"/>
      <c r="T2" s="64"/>
      <c r="U2" s="64"/>
      <c r="V2" s="64"/>
      <c r="W2" s="64"/>
      <c r="X2" s="64"/>
      <c r="Y2" s="64"/>
      <c r="Z2" s="749"/>
    </row>
    <row r="3" spans="1:26" ht="18" customHeight="1">
      <c r="A3" s="1188" t="s">
        <v>306</v>
      </c>
      <c r="B3" s="1188"/>
      <c r="C3" s="1188"/>
      <c r="D3" s="1188"/>
      <c r="E3" s="1188"/>
      <c r="F3" s="1188"/>
      <c r="G3" s="1188"/>
      <c r="H3" s="1188"/>
      <c r="I3" s="1188"/>
      <c r="J3" s="1188"/>
      <c r="K3" s="1188"/>
      <c r="L3" s="1188"/>
      <c r="M3" s="1188"/>
      <c r="N3" s="1188"/>
      <c r="O3" s="1188"/>
      <c r="P3" s="1188"/>
      <c r="Q3" s="1188"/>
      <c r="R3" s="1188"/>
      <c r="S3" s="1188"/>
      <c r="T3" s="1188"/>
      <c r="U3" s="1188"/>
      <c r="V3" s="1188"/>
      <c r="W3" s="1188"/>
      <c r="X3" s="1188"/>
      <c r="Y3" s="1188"/>
      <c r="Z3" s="1188"/>
    </row>
    <row r="4" spans="1:26" ht="18" customHeight="1">
      <c r="A4" s="1189" t="s">
        <v>851</v>
      </c>
      <c r="B4" s="1189"/>
      <c r="C4" s="1189"/>
      <c r="D4" s="1189"/>
      <c r="E4" s="1189"/>
      <c r="F4" s="1189"/>
      <c r="G4" s="1189"/>
      <c r="H4" s="1189"/>
      <c r="I4" s="1189"/>
      <c r="J4" s="1189"/>
      <c r="K4" s="1189"/>
      <c r="L4" s="1189"/>
      <c r="M4" s="1189"/>
      <c r="N4" s="1189"/>
      <c r="O4" s="1189"/>
      <c r="P4" s="1189"/>
      <c r="Q4" s="1189"/>
      <c r="R4" s="1189"/>
      <c r="S4" s="1189"/>
      <c r="T4" s="1189"/>
      <c r="U4" s="1189"/>
      <c r="V4" s="1189"/>
      <c r="W4" s="1189"/>
      <c r="X4" s="1189"/>
      <c r="Y4" s="1189"/>
      <c r="Z4" s="1189"/>
    </row>
    <row r="5" spans="1:26" ht="18" customHeight="1">
      <c r="A5" s="45"/>
      <c r="B5" s="45"/>
      <c r="C5" s="45"/>
      <c r="D5" s="45"/>
      <c r="E5" s="45"/>
      <c r="F5" s="45"/>
      <c r="G5" s="45"/>
      <c r="H5" s="64"/>
      <c r="I5" s="45"/>
      <c r="J5" s="45"/>
      <c r="K5" s="45"/>
      <c r="L5" s="45"/>
      <c r="M5" s="45"/>
      <c r="N5" s="45"/>
      <c r="O5" s="45"/>
      <c r="P5" s="45"/>
      <c r="Q5" s="45"/>
      <c r="R5" s="64"/>
      <c r="S5" s="64"/>
      <c r="T5" s="64"/>
      <c r="U5" s="64"/>
      <c r="V5" s="64"/>
      <c r="W5" s="64"/>
      <c r="X5" s="64"/>
      <c r="Y5" s="64"/>
      <c r="Z5" s="749"/>
    </row>
    <row r="6" spans="1:26" ht="18" customHeight="1">
      <c r="A6" s="46"/>
      <c r="B6" s="206" t="s">
        <v>107</v>
      </c>
      <c r="C6" s="206" t="s">
        <v>108</v>
      </c>
      <c r="D6" s="206" t="s">
        <v>109</v>
      </c>
      <c r="E6" s="206" t="s">
        <v>110</v>
      </c>
      <c r="F6" s="206" t="s">
        <v>111</v>
      </c>
      <c r="G6" s="206" t="s">
        <v>112</v>
      </c>
      <c r="H6" s="206" t="s">
        <v>126</v>
      </c>
      <c r="I6" s="206">
        <v>2007</v>
      </c>
      <c r="J6" s="206">
        <v>2008</v>
      </c>
      <c r="K6" s="206">
        <v>2009</v>
      </c>
      <c r="L6" s="206">
        <v>2010</v>
      </c>
      <c r="M6" s="206">
        <v>2011</v>
      </c>
      <c r="N6" s="206">
        <v>2012</v>
      </c>
      <c r="O6" s="206">
        <v>2013</v>
      </c>
      <c r="P6" s="206">
        <v>2014</v>
      </c>
      <c r="Q6" s="206">
        <v>2015</v>
      </c>
      <c r="R6" s="206">
        <v>2016</v>
      </c>
      <c r="S6" s="206">
        <v>2017</v>
      </c>
      <c r="T6" s="206">
        <v>2018</v>
      </c>
      <c r="U6" s="206">
        <v>2019</v>
      </c>
      <c r="V6" s="206">
        <v>2020</v>
      </c>
      <c r="W6" s="206">
        <v>2021</v>
      </c>
      <c r="X6" s="206">
        <v>2022</v>
      </c>
      <c r="Y6" s="206">
        <v>2023</v>
      </c>
      <c r="Z6" s="981">
        <v>2024</v>
      </c>
    </row>
    <row r="7" spans="1:26" ht="18" customHeight="1">
      <c r="A7" s="207" t="s">
        <v>137</v>
      </c>
      <c r="B7" s="192">
        <f aca="true" t="shared" si="0" ref="B7:L7">SUM(B8:B11)</f>
        <v>2247</v>
      </c>
      <c r="C7" s="192">
        <f t="shared" si="0"/>
        <v>2352</v>
      </c>
      <c r="D7" s="192">
        <f t="shared" si="0"/>
        <v>2322</v>
      </c>
      <c r="E7" s="192">
        <f t="shared" si="0"/>
        <v>2561</v>
      </c>
      <c r="F7" s="192">
        <f t="shared" si="0"/>
        <v>2733</v>
      </c>
      <c r="G7" s="192">
        <f t="shared" si="0"/>
        <v>2844</v>
      </c>
      <c r="H7" s="192">
        <f t="shared" si="0"/>
        <v>2965</v>
      </c>
      <c r="I7" s="192">
        <f t="shared" si="0"/>
        <v>3155</v>
      </c>
      <c r="J7" s="192">
        <f t="shared" si="0"/>
        <v>3251</v>
      </c>
      <c r="K7" s="192">
        <f t="shared" si="0"/>
        <v>3374</v>
      </c>
      <c r="L7" s="192">
        <f t="shared" si="0"/>
        <v>3442</v>
      </c>
      <c r="M7" s="192">
        <f>SUM(M8:M11)</f>
        <v>3577</v>
      </c>
      <c r="N7" s="192">
        <f>SUM(N8:N11)</f>
        <v>3624</v>
      </c>
      <c r="O7" s="192">
        <f>SUM(O8:O11)</f>
        <v>3733</v>
      </c>
      <c r="P7" s="192">
        <f>SUM(P8:P11)</f>
        <v>3952</v>
      </c>
      <c r="Q7" s="192">
        <f>SUM(Q8:Q11)</f>
        <v>4202</v>
      </c>
      <c r="R7" s="192">
        <f aca="true" t="shared" si="1" ref="R7:Z7">SUM(R8:R11)</f>
        <v>4314</v>
      </c>
      <c r="S7" s="192">
        <f t="shared" si="1"/>
        <v>4598</v>
      </c>
      <c r="T7" s="192">
        <f t="shared" si="1"/>
        <v>4736</v>
      </c>
      <c r="U7" s="192">
        <f t="shared" si="1"/>
        <v>4812</v>
      </c>
      <c r="V7" s="192">
        <f t="shared" si="1"/>
        <v>4943</v>
      </c>
      <c r="W7" s="192">
        <f>SUM(W8:W11)</f>
        <v>5227</v>
      </c>
      <c r="X7" s="192">
        <f>SUM(X8:X11)</f>
        <v>5430</v>
      </c>
      <c r="Y7" s="192">
        <f>SUM(Y8:Y11)</f>
        <v>5986</v>
      </c>
      <c r="Z7" s="482">
        <f t="shared" si="1"/>
        <v>5645</v>
      </c>
    </row>
    <row r="8" spans="1:26" ht="18" customHeight="1">
      <c r="A8" s="208" t="s">
        <v>307</v>
      </c>
      <c r="B8" s="181">
        <v>233</v>
      </c>
      <c r="C8" s="181">
        <v>178</v>
      </c>
      <c r="D8" s="181">
        <v>172</v>
      </c>
      <c r="E8" s="181">
        <v>187</v>
      </c>
      <c r="F8" s="181">
        <v>204</v>
      </c>
      <c r="G8" s="181">
        <v>230</v>
      </c>
      <c r="H8" s="181">
        <v>211</v>
      </c>
      <c r="I8" s="181">
        <v>222</v>
      </c>
      <c r="J8" s="181">
        <v>236</v>
      </c>
      <c r="K8" s="181">
        <v>241</v>
      </c>
      <c r="L8" s="181">
        <v>275</v>
      </c>
      <c r="M8" s="181">
        <v>329</v>
      </c>
      <c r="N8" s="181">
        <v>316</v>
      </c>
      <c r="O8" s="181">
        <v>301</v>
      </c>
      <c r="P8" s="181">
        <v>367</v>
      </c>
      <c r="Q8" s="181">
        <v>460</v>
      </c>
      <c r="R8" s="181">
        <v>517</v>
      </c>
      <c r="S8" s="181">
        <v>638</v>
      </c>
      <c r="T8" s="181">
        <v>702</v>
      </c>
      <c r="U8" s="181">
        <v>767</v>
      </c>
      <c r="V8" s="181">
        <v>782</v>
      </c>
      <c r="W8" s="181">
        <v>891</v>
      </c>
      <c r="X8" s="181">
        <v>758</v>
      </c>
      <c r="Y8" s="181">
        <v>761</v>
      </c>
      <c r="Z8" s="465">
        <v>841</v>
      </c>
    </row>
    <row r="9" spans="1:27" ht="18" customHeight="1">
      <c r="A9" s="208" t="s">
        <v>308</v>
      </c>
      <c r="B9" s="181">
        <v>1187</v>
      </c>
      <c r="C9" s="181">
        <v>1233</v>
      </c>
      <c r="D9" s="181">
        <v>1217</v>
      </c>
      <c r="E9" s="181">
        <v>1339</v>
      </c>
      <c r="F9" s="181">
        <v>1398</v>
      </c>
      <c r="G9" s="181">
        <v>1408</v>
      </c>
      <c r="H9" s="181">
        <v>1435</v>
      </c>
      <c r="I9" s="181">
        <v>1590</v>
      </c>
      <c r="J9" s="181">
        <v>1569</v>
      </c>
      <c r="K9" s="181">
        <v>1556</v>
      </c>
      <c r="L9" s="181">
        <v>1520</v>
      </c>
      <c r="M9" s="181">
        <v>1582</v>
      </c>
      <c r="N9" s="181">
        <v>1594</v>
      </c>
      <c r="O9" s="181">
        <v>1676</v>
      </c>
      <c r="P9" s="181">
        <v>1720</v>
      </c>
      <c r="Q9" s="181">
        <v>1859</v>
      </c>
      <c r="R9" s="181">
        <v>1918</v>
      </c>
      <c r="S9" s="181">
        <v>2019</v>
      </c>
      <c r="T9" s="181">
        <v>2075</v>
      </c>
      <c r="U9" s="181">
        <v>2090</v>
      </c>
      <c r="V9" s="181">
        <v>2157</v>
      </c>
      <c r="W9" s="181">
        <v>2289</v>
      </c>
      <c r="X9" s="181">
        <v>2511</v>
      </c>
      <c r="Y9" s="181">
        <v>2883</v>
      </c>
      <c r="Z9" s="465">
        <v>2644</v>
      </c>
      <c r="AA9" s="149"/>
    </row>
    <row r="10" spans="1:26" ht="18" customHeight="1">
      <c r="A10" s="208" t="s">
        <v>309</v>
      </c>
      <c r="B10" s="181">
        <v>507</v>
      </c>
      <c r="C10" s="181">
        <v>601</v>
      </c>
      <c r="D10" s="181">
        <v>604</v>
      </c>
      <c r="E10" s="181">
        <v>651</v>
      </c>
      <c r="F10" s="181">
        <v>711</v>
      </c>
      <c r="G10" s="181">
        <v>751</v>
      </c>
      <c r="H10" s="181">
        <v>809</v>
      </c>
      <c r="I10" s="181">
        <v>840</v>
      </c>
      <c r="J10" s="181">
        <v>940</v>
      </c>
      <c r="K10" s="181">
        <v>1014</v>
      </c>
      <c r="L10" s="181">
        <v>1018</v>
      </c>
      <c r="M10" s="181">
        <v>984</v>
      </c>
      <c r="N10" s="181">
        <v>1028</v>
      </c>
      <c r="O10" s="181">
        <v>1060</v>
      </c>
      <c r="P10" s="181">
        <v>1112</v>
      </c>
      <c r="Q10" s="181">
        <v>1094</v>
      </c>
      <c r="R10" s="181">
        <v>1095</v>
      </c>
      <c r="S10" s="181">
        <v>1131</v>
      </c>
      <c r="T10" s="181">
        <v>1128</v>
      </c>
      <c r="U10" s="181">
        <v>1114</v>
      </c>
      <c r="V10" s="181">
        <v>1146</v>
      </c>
      <c r="W10" s="181">
        <v>1171</v>
      </c>
      <c r="X10" s="181">
        <v>1217</v>
      </c>
      <c r="Y10" s="181">
        <v>1311</v>
      </c>
      <c r="Z10" s="465">
        <v>1191</v>
      </c>
    </row>
    <row r="11" spans="1:26" ht="18" customHeight="1">
      <c r="A11" s="208" t="s">
        <v>310</v>
      </c>
      <c r="B11" s="181">
        <v>320</v>
      </c>
      <c r="C11" s="181">
        <v>340</v>
      </c>
      <c r="D11" s="181">
        <v>329</v>
      </c>
      <c r="E11" s="181">
        <v>384</v>
      </c>
      <c r="F11" s="181">
        <v>420</v>
      </c>
      <c r="G11" s="181">
        <v>455</v>
      </c>
      <c r="H11" s="181">
        <v>510</v>
      </c>
      <c r="I11" s="181">
        <v>503</v>
      </c>
      <c r="J11" s="181">
        <v>506</v>
      </c>
      <c r="K11" s="181">
        <v>563</v>
      </c>
      <c r="L11" s="181">
        <v>629</v>
      </c>
      <c r="M11" s="181">
        <v>682</v>
      </c>
      <c r="N11" s="181">
        <v>686</v>
      </c>
      <c r="O11" s="181">
        <v>696</v>
      </c>
      <c r="P11" s="181">
        <v>753</v>
      </c>
      <c r="Q11" s="181">
        <v>789</v>
      </c>
      <c r="R11" s="181">
        <v>784</v>
      </c>
      <c r="S11" s="181">
        <v>810</v>
      </c>
      <c r="T11" s="181">
        <v>831</v>
      </c>
      <c r="U11" s="181">
        <v>841</v>
      </c>
      <c r="V11" s="181">
        <v>858</v>
      </c>
      <c r="W11" s="181">
        <v>876</v>
      </c>
      <c r="X11" s="181">
        <v>944</v>
      </c>
      <c r="Y11" s="181">
        <v>1031</v>
      </c>
      <c r="Z11" s="465">
        <v>969</v>
      </c>
    </row>
    <row r="12" spans="1:26" ht="18" customHeight="1">
      <c r="A12" s="207" t="s">
        <v>311</v>
      </c>
      <c r="B12" s="192">
        <f>SUM(B13:B16)</f>
        <v>7466</v>
      </c>
      <c r="C12" s="192">
        <f aca="true" t="shared" si="2" ref="C12:L12">SUM(C13:C16)</f>
        <v>8018</v>
      </c>
      <c r="D12" s="192">
        <f t="shared" si="2"/>
        <v>9199</v>
      </c>
      <c r="E12" s="192">
        <f t="shared" si="2"/>
        <v>9199</v>
      </c>
      <c r="F12" s="192">
        <f t="shared" si="2"/>
        <v>10189</v>
      </c>
      <c r="G12" s="192">
        <f t="shared" si="2"/>
        <v>10789</v>
      </c>
      <c r="H12" s="192">
        <f t="shared" si="2"/>
        <v>12096</v>
      </c>
      <c r="I12" s="192">
        <f t="shared" si="2"/>
        <v>13485</v>
      </c>
      <c r="J12" s="192">
        <f t="shared" si="2"/>
        <v>14681</v>
      </c>
      <c r="K12" s="192">
        <f t="shared" si="2"/>
        <v>15565</v>
      </c>
      <c r="L12" s="192">
        <f t="shared" si="2"/>
        <v>16598</v>
      </c>
      <c r="M12" s="192">
        <f>SUM(M13:M16)</f>
        <v>17537</v>
      </c>
      <c r="N12" s="192">
        <f>SUM(N13:N16)</f>
        <v>18554</v>
      </c>
      <c r="O12" s="192">
        <f>SUM(O13:O16)</f>
        <v>19747</v>
      </c>
      <c r="P12" s="192">
        <f>SUM(P13:P16)</f>
        <v>21359</v>
      </c>
      <c r="Q12" s="192">
        <f>SUM(Q13:Q16)</f>
        <v>23317</v>
      </c>
      <c r="R12" s="192">
        <f>SUM(R13:R16)</f>
        <v>24968</v>
      </c>
      <c r="S12" s="192">
        <f>SUM(S13:S16)</f>
        <v>27066</v>
      </c>
      <c r="T12" s="192">
        <f>SUM(T13:T16)</f>
        <v>28534</v>
      </c>
      <c r="U12" s="192">
        <f>SUM(U13:U16)</f>
        <v>30548</v>
      </c>
      <c r="V12" s="192">
        <f>SUM(V13:V16)</f>
        <v>33165</v>
      </c>
      <c r="W12" s="192">
        <f>SUM(W13:W16)</f>
        <v>35178</v>
      </c>
      <c r="X12" s="192">
        <f>SUM(X13:X16)</f>
        <v>36554</v>
      </c>
      <c r="Y12" s="192">
        <f>SUM(Y13:Y16)</f>
        <v>41371</v>
      </c>
      <c r="Z12" s="482">
        <f>SUM(Z13:Z16)</f>
        <v>41284</v>
      </c>
    </row>
    <row r="13" spans="1:26" ht="18" customHeight="1">
      <c r="A13" s="208" t="s">
        <v>307</v>
      </c>
      <c r="B13" s="181">
        <v>1220</v>
      </c>
      <c r="C13" s="181">
        <v>1128</v>
      </c>
      <c r="D13" s="181">
        <v>1325</v>
      </c>
      <c r="E13" s="181">
        <v>1325</v>
      </c>
      <c r="F13" s="181">
        <v>1634</v>
      </c>
      <c r="G13" s="181">
        <v>1849</v>
      </c>
      <c r="H13" s="181">
        <v>2109</v>
      </c>
      <c r="I13" s="181">
        <v>2389</v>
      </c>
      <c r="J13" s="181">
        <v>2588</v>
      </c>
      <c r="K13" s="170">
        <v>2705</v>
      </c>
      <c r="L13" s="181">
        <v>3047</v>
      </c>
      <c r="M13" s="181">
        <v>3383</v>
      </c>
      <c r="N13" s="130">
        <v>3604</v>
      </c>
      <c r="O13" s="130">
        <v>3712</v>
      </c>
      <c r="P13" s="130">
        <v>3991</v>
      </c>
      <c r="Q13" s="130">
        <v>4575</v>
      </c>
      <c r="R13" s="328">
        <v>5041</v>
      </c>
      <c r="S13" s="328">
        <v>5816</v>
      </c>
      <c r="T13" s="328">
        <v>6547</v>
      </c>
      <c r="U13" s="328">
        <v>7489</v>
      </c>
      <c r="V13" s="328">
        <v>8725</v>
      </c>
      <c r="W13" s="328">
        <v>9168</v>
      </c>
      <c r="X13" s="328">
        <v>8034</v>
      </c>
      <c r="Y13" s="328">
        <v>9353</v>
      </c>
      <c r="Z13" s="982">
        <v>9393</v>
      </c>
    </row>
    <row r="14" spans="1:26" ht="18" customHeight="1">
      <c r="A14" s="208" t="s">
        <v>308</v>
      </c>
      <c r="B14" s="181">
        <v>4346</v>
      </c>
      <c r="C14" s="181">
        <v>4682</v>
      </c>
      <c r="D14" s="181">
        <v>5384</v>
      </c>
      <c r="E14" s="181">
        <v>5384</v>
      </c>
      <c r="F14" s="181">
        <v>5782</v>
      </c>
      <c r="G14" s="181">
        <v>5930</v>
      </c>
      <c r="H14" s="181">
        <v>6558</v>
      </c>
      <c r="I14" s="181">
        <v>7565</v>
      </c>
      <c r="J14" s="181">
        <v>8165</v>
      </c>
      <c r="K14" s="170">
        <v>8567</v>
      </c>
      <c r="L14" s="181">
        <v>8971</v>
      </c>
      <c r="M14" s="181">
        <v>9541</v>
      </c>
      <c r="N14" s="130">
        <v>10059</v>
      </c>
      <c r="O14" s="130">
        <v>10758</v>
      </c>
      <c r="P14" s="130">
        <v>11673</v>
      </c>
      <c r="Q14" s="130">
        <v>12775</v>
      </c>
      <c r="R14" s="328">
        <v>13668</v>
      </c>
      <c r="S14" s="328">
        <v>14621</v>
      </c>
      <c r="T14" s="328">
        <v>15112</v>
      </c>
      <c r="U14" s="328">
        <v>15988</v>
      </c>
      <c r="V14" s="328">
        <v>17094</v>
      </c>
      <c r="W14" s="328">
        <v>18351</v>
      </c>
      <c r="X14" s="328">
        <v>20472</v>
      </c>
      <c r="Y14" s="328">
        <v>23177</v>
      </c>
      <c r="Z14" s="982">
        <v>23164</v>
      </c>
    </row>
    <row r="15" spans="1:26" ht="18" customHeight="1">
      <c r="A15" s="208" t="s">
        <v>309</v>
      </c>
      <c r="B15" s="181">
        <v>1278</v>
      </c>
      <c r="C15" s="181">
        <v>1556</v>
      </c>
      <c r="D15" s="181">
        <v>1728</v>
      </c>
      <c r="E15" s="181">
        <v>1728</v>
      </c>
      <c r="F15" s="181">
        <v>1897</v>
      </c>
      <c r="G15" s="181">
        <v>2057</v>
      </c>
      <c r="H15" s="181">
        <v>2306</v>
      </c>
      <c r="I15" s="181">
        <v>2428</v>
      </c>
      <c r="J15" s="181">
        <v>2811</v>
      </c>
      <c r="K15" s="170">
        <v>3058</v>
      </c>
      <c r="L15" s="181">
        <v>3172</v>
      </c>
      <c r="M15" s="181">
        <v>3112</v>
      </c>
      <c r="N15" s="130">
        <v>3311</v>
      </c>
      <c r="O15" s="130">
        <v>3576</v>
      </c>
      <c r="P15" s="130">
        <v>3852</v>
      </c>
      <c r="Q15" s="130">
        <v>3964</v>
      </c>
      <c r="R15" s="328">
        <v>4203</v>
      </c>
      <c r="S15" s="328">
        <v>4422</v>
      </c>
      <c r="T15" s="328">
        <v>4546</v>
      </c>
      <c r="U15" s="328">
        <v>4578</v>
      </c>
      <c r="V15" s="328">
        <v>4762</v>
      </c>
      <c r="W15" s="328">
        <v>4968</v>
      </c>
      <c r="X15" s="328">
        <v>5177</v>
      </c>
      <c r="Y15" s="328">
        <v>5758</v>
      </c>
      <c r="Z15" s="982">
        <v>5726</v>
      </c>
    </row>
    <row r="16" spans="1:26" ht="18" customHeight="1">
      <c r="A16" s="208" t="s">
        <v>310</v>
      </c>
      <c r="B16" s="181">
        <v>622</v>
      </c>
      <c r="C16" s="181">
        <v>652</v>
      </c>
      <c r="D16" s="181">
        <v>762</v>
      </c>
      <c r="E16" s="181">
        <v>762</v>
      </c>
      <c r="F16" s="181">
        <v>876</v>
      </c>
      <c r="G16" s="181">
        <v>953</v>
      </c>
      <c r="H16" s="181">
        <v>1123</v>
      </c>
      <c r="I16" s="181">
        <v>1103</v>
      </c>
      <c r="J16" s="181">
        <v>1117</v>
      </c>
      <c r="K16" s="170">
        <v>1235</v>
      </c>
      <c r="L16" s="181">
        <v>1408</v>
      </c>
      <c r="M16" s="181">
        <v>1501</v>
      </c>
      <c r="N16" s="130">
        <v>1580</v>
      </c>
      <c r="O16" s="130">
        <v>1701</v>
      </c>
      <c r="P16" s="130">
        <v>1843</v>
      </c>
      <c r="Q16" s="130">
        <v>2003</v>
      </c>
      <c r="R16" s="328">
        <v>2056</v>
      </c>
      <c r="S16" s="328">
        <v>2207</v>
      </c>
      <c r="T16" s="328">
        <v>2329</v>
      </c>
      <c r="U16" s="328">
        <v>2493</v>
      </c>
      <c r="V16" s="328">
        <v>2584</v>
      </c>
      <c r="W16" s="328">
        <v>2691</v>
      </c>
      <c r="X16" s="328">
        <v>2871</v>
      </c>
      <c r="Y16" s="328">
        <v>3083</v>
      </c>
      <c r="Z16" s="982">
        <v>3001</v>
      </c>
    </row>
    <row r="17" spans="1:26" ht="18" customHeight="1">
      <c r="A17" s="207" t="s">
        <v>312</v>
      </c>
      <c r="B17" s="178">
        <f>B7/B12</f>
        <v>0.3009643718189124</v>
      </c>
      <c r="C17" s="178">
        <f aca="true" t="shared" si="3" ref="C17:L17">C7/C12</f>
        <v>0.29333998503367426</v>
      </c>
      <c r="D17" s="178">
        <f t="shared" si="3"/>
        <v>0.2524187411675182</v>
      </c>
      <c r="E17" s="178">
        <f t="shared" si="3"/>
        <v>0.27839982606805086</v>
      </c>
      <c r="F17" s="178">
        <f t="shared" si="3"/>
        <v>0.26823044459711454</v>
      </c>
      <c r="G17" s="178">
        <f t="shared" si="3"/>
        <v>0.2636018166651219</v>
      </c>
      <c r="H17" s="178">
        <f t="shared" si="3"/>
        <v>0.2451223544973545</v>
      </c>
      <c r="I17" s="178">
        <f t="shared" si="3"/>
        <v>0.2339636633296255</v>
      </c>
      <c r="J17" s="178">
        <f t="shared" si="3"/>
        <v>0.22144268101627954</v>
      </c>
      <c r="K17" s="178">
        <f t="shared" si="3"/>
        <v>0.21676839061998074</v>
      </c>
      <c r="L17" s="178">
        <f t="shared" si="3"/>
        <v>0.20737438245571754</v>
      </c>
      <c r="M17" s="178">
        <f>M7/M12</f>
        <v>0.20396875178194673</v>
      </c>
      <c r="N17" s="178">
        <f>N7/N12</f>
        <v>0.19532176350113184</v>
      </c>
      <c r="O17" s="178">
        <f>O7/O12</f>
        <v>0.18904137337317062</v>
      </c>
      <c r="P17" s="178">
        <f>P7/P12</f>
        <v>0.18502738892270237</v>
      </c>
      <c r="Q17" s="178">
        <f>Q7/Q12</f>
        <v>0.18021186258952696</v>
      </c>
      <c r="R17" s="178">
        <f aca="true" t="shared" si="4" ref="R17:Y21">R7/R12</f>
        <v>0.17278115988465237</v>
      </c>
      <c r="S17" s="178">
        <f t="shared" si="4"/>
        <v>0.16988103155250128</v>
      </c>
      <c r="T17" s="178">
        <f t="shared" si="4"/>
        <v>0.16597743043386837</v>
      </c>
      <c r="U17" s="178">
        <f t="shared" si="4"/>
        <v>0.15752258740343067</v>
      </c>
      <c r="V17" s="178">
        <f t="shared" si="4"/>
        <v>0.1490426654605759</v>
      </c>
      <c r="W17" s="178">
        <f t="shared" si="4"/>
        <v>0.14858718517255104</v>
      </c>
      <c r="X17" s="178">
        <f t="shared" si="4"/>
        <v>0.14854735459867593</v>
      </c>
      <c r="Y17" s="178">
        <f t="shared" si="4"/>
        <v>0.14469072538734862</v>
      </c>
      <c r="Z17" s="892">
        <f>Z7/Z12</f>
        <v>0.1367357814165294</v>
      </c>
    </row>
    <row r="18" spans="1:26" ht="18" customHeight="1">
      <c r="A18" s="208" t="s">
        <v>307</v>
      </c>
      <c r="B18" s="209">
        <f>B8/B13</f>
        <v>0.19098360655737706</v>
      </c>
      <c r="C18" s="209">
        <f aca="true" t="shared" si="5" ref="C18:L18">C8/C13</f>
        <v>0.15780141843971632</v>
      </c>
      <c r="D18" s="209">
        <f t="shared" si="5"/>
        <v>0.129811320754717</v>
      </c>
      <c r="E18" s="209">
        <f t="shared" si="5"/>
        <v>0.14113207547169812</v>
      </c>
      <c r="F18" s="209">
        <f t="shared" si="5"/>
        <v>0.12484700122399021</v>
      </c>
      <c r="G18" s="209">
        <f t="shared" si="5"/>
        <v>0.12439156300703083</v>
      </c>
      <c r="H18" s="209">
        <f t="shared" si="5"/>
        <v>0.10004741583688952</v>
      </c>
      <c r="I18" s="209">
        <f t="shared" si="5"/>
        <v>0.09292591042277103</v>
      </c>
      <c r="J18" s="209">
        <f t="shared" si="5"/>
        <v>0.09119010819165378</v>
      </c>
      <c r="K18" s="209">
        <f t="shared" si="5"/>
        <v>0.08909426987060998</v>
      </c>
      <c r="L18" s="209">
        <f t="shared" si="5"/>
        <v>0.09025270758122744</v>
      </c>
      <c r="M18" s="209">
        <f>M8/M13</f>
        <v>0.09725096068578185</v>
      </c>
      <c r="N18" s="209">
        <f aca="true" t="shared" si="6" ref="N18:Q21">N8/N13</f>
        <v>0.0876803551609323</v>
      </c>
      <c r="O18" s="209">
        <f t="shared" si="6"/>
        <v>0.08108836206896551</v>
      </c>
      <c r="P18" s="209">
        <f t="shared" si="6"/>
        <v>0.0919569030318216</v>
      </c>
      <c r="Q18" s="209">
        <f t="shared" si="6"/>
        <v>0.1005464480874317</v>
      </c>
      <c r="R18" s="209">
        <f t="shared" si="4"/>
        <v>0.10255901606824043</v>
      </c>
      <c r="S18" s="209">
        <f t="shared" si="4"/>
        <v>0.10969738651994498</v>
      </c>
      <c r="T18" s="209">
        <f t="shared" si="4"/>
        <v>0.10722468306094395</v>
      </c>
      <c r="U18" s="209">
        <f t="shared" si="4"/>
        <v>0.10241687808786219</v>
      </c>
      <c r="V18" s="209">
        <f t="shared" si="4"/>
        <v>0.08962750716332378</v>
      </c>
      <c r="W18" s="209">
        <f aca="true" t="shared" si="7" ref="W18:Z21">W8/W13</f>
        <v>0.09718586387434555</v>
      </c>
      <c r="X18" s="209">
        <f>X8/X13</f>
        <v>0.09434901667911377</v>
      </c>
      <c r="Y18" s="209">
        <f>Y8/Y13</f>
        <v>0.08136426814925693</v>
      </c>
      <c r="Z18" s="494">
        <f t="shared" si="7"/>
        <v>0.08953475992760566</v>
      </c>
    </row>
    <row r="19" spans="1:26" ht="18" customHeight="1">
      <c r="A19" s="208" t="s">
        <v>308</v>
      </c>
      <c r="B19" s="209">
        <f>B9/B14</f>
        <v>0.2731247123791993</v>
      </c>
      <c r="C19" s="209">
        <f aca="true" t="shared" si="8" ref="C19:L19">C9/C14</f>
        <v>0.2633489961554891</v>
      </c>
      <c r="D19" s="209">
        <f t="shared" si="8"/>
        <v>0.22604011887072809</v>
      </c>
      <c r="E19" s="209">
        <f t="shared" si="8"/>
        <v>0.2486998514115899</v>
      </c>
      <c r="F19" s="209">
        <f t="shared" si="8"/>
        <v>0.24178484953303356</v>
      </c>
      <c r="G19" s="209">
        <f t="shared" si="8"/>
        <v>0.23743676222596966</v>
      </c>
      <c r="H19" s="209">
        <f t="shared" si="8"/>
        <v>0.21881671241232084</v>
      </c>
      <c r="I19" s="209">
        <f t="shared" si="8"/>
        <v>0.21017845340383345</v>
      </c>
      <c r="J19" s="209">
        <f t="shared" si="8"/>
        <v>0.19216166564605022</v>
      </c>
      <c r="K19" s="209">
        <f t="shared" si="8"/>
        <v>0.18162717403992062</v>
      </c>
      <c r="L19" s="209">
        <f t="shared" si="8"/>
        <v>0.16943484561364397</v>
      </c>
      <c r="M19" s="209">
        <f>M9/M14</f>
        <v>0.16581071166544387</v>
      </c>
      <c r="N19" s="209">
        <f t="shared" si="6"/>
        <v>0.15846505616860523</v>
      </c>
      <c r="O19" s="209">
        <f t="shared" si="6"/>
        <v>0.15579103922662205</v>
      </c>
      <c r="P19" s="209">
        <f t="shared" si="6"/>
        <v>0.14734858219823524</v>
      </c>
      <c r="Q19" s="209">
        <f t="shared" si="6"/>
        <v>0.14551859099804304</v>
      </c>
      <c r="R19" s="209">
        <f t="shared" si="4"/>
        <v>0.14032777290020484</v>
      </c>
      <c r="S19" s="209">
        <f t="shared" si="4"/>
        <v>0.13808904999658025</v>
      </c>
      <c r="T19" s="209">
        <f t="shared" si="4"/>
        <v>0.13730809952355744</v>
      </c>
      <c r="U19" s="209">
        <f t="shared" si="4"/>
        <v>0.13072304228171128</v>
      </c>
      <c r="V19" s="209">
        <f t="shared" si="4"/>
        <v>0.1261846261846262</v>
      </c>
      <c r="W19" s="209">
        <f t="shared" si="7"/>
        <v>0.12473434690207619</v>
      </c>
      <c r="X19" s="209">
        <f>X9/X14</f>
        <v>0.12265533411488863</v>
      </c>
      <c r="Y19" s="209">
        <f>Y9/Y14</f>
        <v>0.12439055960650645</v>
      </c>
      <c r="Z19" s="494">
        <f t="shared" si="7"/>
        <v>0.11414263512346745</v>
      </c>
    </row>
    <row r="20" spans="1:26" ht="18" customHeight="1">
      <c r="A20" s="208" t="s">
        <v>309</v>
      </c>
      <c r="B20" s="209">
        <f>B10/B15</f>
        <v>0.3967136150234742</v>
      </c>
      <c r="C20" s="209">
        <f aca="true" t="shared" si="9" ref="C20:L20">C10/C15</f>
        <v>0.38624678663239076</v>
      </c>
      <c r="D20" s="209">
        <f t="shared" si="9"/>
        <v>0.34953703703703703</v>
      </c>
      <c r="E20" s="209">
        <f t="shared" si="9"/>
        <v>0.3767361111111111</v>
      </c>
      <c r="F20" s="209">
        <f t="shared" si="9"/>
        <v>0.37480231945176595</v>
      </c>
      <c r="G20" s="209">
        <f t="shared" si="9"/>
        <v>0.36509479824987845</v>
      </c>
      <c r="H20" s="209">
        <f t="shared" si="9"/>
        <v>0.35082393755420643</v>
      </c>
      <c r="I20" s="209">
        <f t="shared" si="9"/>
        <v>0.34596375617792424</v>
      </c>
      <c r="J20" s="209">
        <f t="shared" si="9"/>
        <v>0.3344005691924582</v>
      </c>
      <c r="K20" s="209">
        <f t="shared" si="9"/>
        <v>0.3315892740353172</v>
      </c>
      <c r="L20" s="209">
        <f t="shared" si="9"/>
        <v>0.3209331651954603</v>
      </c>
      <c r="M20" s="209">
        <f>M10/M15</f>
        <v>0.3161953727506427</v>
      </c>
      <c r="N20" s="209">
        <f t="shared" si="6"/>
        <v>0.31048021745696164</v>
      </c>
      <c r="O20" s="209">
        <f t="shared" si="6"/>
        <v>0.29642058165548096</v>
      </c>
      <c r="P20" s="209">
        <f t="shared" si="6"/>
        <v>0.28868120456905505</v>
      </c>
      <c r="Q20" s="209">
        <f t="shared" si="6"/>
        <v>0.2759838546922301</v>
      </c>
      <c r="R20" s="209">
        <f t="shared" si="4"/>
        <v>0.2605281941470378</v>
      </c>
      <c r="S20" s="209">
        <f t="shared" si="4"/>
        <v>0.25576662143826323</v>
      </c>
      <c r="T20" s="209">
        <f t="shared" si="4"/>
        <v>0.24813022437307522</v>
      </c>
      <c r="U20" s="209">
        <f t="shared" si="4"/>
        <v>0.24333770205329838</v>
      </c>
      <c r="V20" s="209">
        <f t="shared" si="4"/>
        <v>0.24065518689626209</v>
      </c>
      <c r="W20" s="209">
        <f t="shared" si="7"/>
        <v>0.2357085346215781</v>
      </c>
      <c r="X20" s="209">
        <f>X10/X15</f>
        <v>0.23507823063550318</v>
      </c>
      <c r="Y20" s="209">
        <f>Y10/Y15</f>
        <v>0.227683223341438</v>
      </c>
      <c r="Z20" s="494">
        <f t="shared" si="7"/>
        <v>0.20799860286412852</v>
      </c>
    </row>
    <row r="21" spans="1:26" ht="18" customHeight="1">
      <c r="A21" s="208" t="s">
        <v>310</v>
      </c>
      <c r="B21" s="209">
        <f>B11/B16</f>
        <v>0.5144694533762058</v>
      </c>
      <c r="C21" s="209">
        <f aca="true" t="shared" si="10" ref="C21:L21">C11/C16</f>
        <v>0.5214723926380368</v>
      </c>
      <c r="D21" s="209">
        <f t="shared" si="10"/>
        <v>0.431758530183727</v>
      </c>
      <c r="E21" s="209">
        <f t="shared" si="10"/>
        <v>0.5039370078740157</v>
      </c>
      <c r="F21" s="209">
        <f t="shared" si="10"/>
        <v>0.4794520547945205</v>
      </c>
      <c r="G21" s="209">
        <f t="shared" si="10"/>
        <v>0.4774396642182581</v>
      </c>
      <c r="H21" s="209">
        <f t="shared" si="10"/>
        <v>0.4541406945681211</v>
      </c>
      <c r="I21" s="209">
        <f t="shared" si="10"/>
        <v>0.45602901178603805</v>
      </c>
      <c r="J21" s="209">
        <f t="shared" si="10"/>
        <v>0.4529991047448523</v>
      </c>
      <c r="K21" s="209">
        <f t="shared" si="10"/>
        <v>0.45587044534412957</v>
      </c>
      <c r="L21" s="209">
        <f t="shared" si="10"/>
        <v>0.44673295454545453</v>
      </c>
      <c r="M21" s="209">
        <f>M11/M16</f>
        <v>0.45436375749500335</v>
      </c>
      <c r="N21" s="209">
        <f t="shared" si="6"/>
        <v>0.4341772151898734</v>
      </c>
      <c r="O21" s="209">
        <f t="shared" si="6"/>
        <v>0.4091710758377425</v>
      </c>
      <c r="P21" s="209">
        <f t="shared" si="6"/>
        <v>0.4085729788388497</v>
      </c>
      <c r="Q21" s="209">
        <f t="shared" si="6"/>
        <v>0.3939091362955567</v>
      </c>
      <c r="R21" s="209">
        <f t="shared" si="4"/>
        <v>0.38132295719844356</v>
      </c>
      <c r="S21" s="209">
        <f t="shared" si="4"/>
        <v>0.3670140462165836</v>
      </c>
      <c r="T21" s="209">
        <f t="shared" si="4"/>
        <v>0.35680549592099614</v>
      </c>
      <c r="U21" s="209">
        <f t="shared" si="4"/>
        <v>0.3373445647813879</v>
      </c>
      <c r="V21" s="209">
        <f t="shared" si="4"/>
        <v>0.3320433436532508</v>
      </c>
      <c r="W21" s="209">
        <f t="shared" si="7"/>
        <v>0.3255295429208473</v>
      </c>
      <c r="X21" s="209">
        <f>X11/X16</f>
        <v>0.3288052943225357</v>
      </c>
      <c r="Y21" s="209">
        <f>Y11/Y16</f>
        <v>0.33441453130068116</v>
      </c>
      <c r="Z21" s="494">
        <f t="shared" si="7"/>
        <v>0.32289236921026326</v>
      </c>
    </row>
    <row r="22" spans="1:26" ht="12.75">
      <c r="A22" s="47"/>
      <c r="B22" s="47"/>
      <c r="C22" s="47"/>
      <c r="D22" s="47"/>
      <c r="E22" s="47"/>
      <c r="F22" s="47"/>
      <c r="G22" s="47"/>
      <c r="H22" s="47"/>
      <c r="I22" s="47"/>
      <c r="J22" s="47"/>
      <c r="K22" s="47"/>
      <c r="L22" s="47"/>
      <c r="M22" s="47"/>
      <c r="N22" s="47"/>
      <c r="O22" s="47"/>
      <c r="P22" s="47"/>
      <c r="Q22" s="47"/>
      <c r="R22" s="329"/>
      <c r="S22" s="329"/>
      <c r="T22" s="329"/>
      <c r="U22" s="329"/>
      <c r="V22" s="329"/>
      <c r="W22" s="329"/>
      <c r="X22" s="329"/>
      <c r="Y22" s="329"/>
      <c r="Z22" s="750"/>
    </row>
    <row r="23" spans="1:26" s="17" customFormat="1" ht="13.5" customHeight="1">
      <c r="A23" s="13" t="s">
        <v>304</v>
      </c>
      <c r="J23" s="5"/>
      <c r="K23" s="5"/>
      <c r="R23" s="5"/>
      <c r="S23" s="5"/>
      <c r="T23" s="5"/>
      <c r="U23" s="5"/>
      <c r="V23" s="5"/>
      <c r="W23" s="5"/>
      <c r="X23" s="5"/>
      <c r="Y23" s="5"/>
      <c r="Z23" s="298"/>
    </row>
    <row r="24" spans="1:26" s="17" customFormat="1" ht="13.5" customHeight="1">
      <c r="A24" s="13"/>
      <c r="J24" s="5"/>
      <c r="K24" s="5"/>
      <c r="R24" s="5"/>
      <c r="S24" s="5"/>
      <c r="T24" s="5"/>
      <c r="U24" s="5"/>
      <c r="V24" s="5"/>
      <c r="W24" s="5"/>
      <c r="X24" s="5"/>
      <c r="Y24" s="5"/>
      <c r="Z24" s="298"/>
    </row>
    <row r="25" spans="1:26" s="13" customFormat="1" ht="13.5" customHeight="1">
      <c r="A25" s="751" t="s">
        <v>862</v>
      </c>
      <c r="Z25" s="748"/>
    </row>
    <row r="26" spans="1:26" s="17" customFormat="1" ht="13.5" customHeight="1">
      <c r="A26" s="1118" t="s">
        <v>860</v>
      </c>
      <c r="B26" s="1118"/>
      <c r="C26" s="1118"/>
      <c r="D26" s="1118"/>
      <c r="E26" s="1118"/>
      <c r="F26" s="1118"/>
      <c r="G26" s="1118"/>
      <c r="H26" s="1118"/>
      <c r="I26" s="1118"/>
      <c r="J26" s="1118"/>
      <c r="K26" s="1118"/>
      <c r="L26" s="1118"/>
      <c r="M26" s="1118"/>
      <c r="N26" s="1118"/>
      <c r="O26" s="1118"/>
      <c r="P26" s="1118"/>
      <c r="Q26" s="1118"/>
      <c r="R26" s="1118"/>
      <c r="S26" s="1118"/>
      <c r="T26" s="1118"/>
      <c r="U26" s="1118"/>
      <c r="V26" s="1118"/>
      <c r="W26" s="1118"/>
      <c r="X26" s="1118"/>
      <c r="Y26" s="1118"/>
      <c r="Z26" s="1125"/>
    </row>
    <row r="27" spans="1:26" s="17" customFormat="1" ht="13.5" customHeight="1">
      <c r="A27" s="1118" t="s">
        <v>861</v>
      </c>
      <c r="B27" s="1118"/>
      <c r="C27" s="1118"/>
      <c r="D27" s="1118"/>
      <c r="E27" s="1118"/>
      <c r="F27" s="1118"/>
      <c r="G27" s="1118"/>
      <c r="H27" s="1118"/>
      <c r="I27" s="1118"/>
      <c r="J27" s="1118"/>
      <c r="K27" s="1118"/>
      <c r="L27" s="1118"/>
      <c r="M27" s="1118"/>
      <c r="N27" s="1118"/>
      <c r="O27" s="1118"/>
      <c r="P27" s="1118"/>
      <c r="Q27" s="1118"/>
      <c r="R27" s="1118"/>
      <c r="S27" s="1118"/>
      <c r="T27" s="1118"/>
      <c r="U27" s="1118"/>
      <c r="V27" s="1118"/>
      <c r="W27" s="1118"/>
      <c r="X27" s="1118"/>
      <c r="Y27" s="1118"/>
      <c r="Z27" s="1118"/>
    </row>
  </sheetData>
  <sheetProtection/>
  <mergeCells count="5">
    <mergeCell ref="A27:Z27"/>
    <mergeCell ref="A26:Z26"/>
    <mergeCell ref="A1:Z1"/>
    <mergeCell ref="A3:Z3"/>
    <mergeCell ref="A4:Z4"/>
  </mergeCells>
  <printOptions horizontalCentered="1"/>
  <pageMargins left="0.7874015748031497" right="0.7874015748031497" top="0.984251968503937" bottom="0.984251968503937" header="0" footer="0"/>
  <pageSetup fitToHeight="1" fitToWidth="1" horizontalDpi="600" verticalDpi="600" orientation="landscape" scale="41" r:id="rId1"/>
  <ignoredErrors>
    <ignoredError sqref="B6:H6" numberStoredAsText="1"/>
  </ignoredErrors>
</worksheet>
</file>

<file path=xl/worksheets/sheet3.xml><?xml version="1.0" encoding="utf-8"?>
<worksheet xmlns="http://schemas.openxmlformats.org/spreadsheetml/2006/main" xmlns:r="http://schemas.openxmlformats.org/officeDocument/2006/relationships">
  <sheetPr>
    <tabColor rgb="FF660066"/>
    <pageSetUpPr fitToPage="1"/>
  </sheetPr>
  <dimension ref="A1:AE34"/>
  <sheetViews>
    <sheetView zoomScalePageLayoutView="0" workbookViewId="0" topLeftCell="A1">
      <selection activeCell="B6" sqref="B6:Y15"/>
    </sheetView>
  </sheetViews>
  <sheetFormatPr defaultColWidth="11.421875" defaultRowHeight="12.75"/>
  <cols>
    <col min="1" max="1" width="30.7109375" style="0" customWidth="1"/>
    <col min="2" max="9" width="11.421875" style="0" customWidth="1"/>
    <col min="10" max="12" width="10.8515625" style="2" customWidth="1"/>
    <col min="20" max="20" width="11.421875" style="386" customWidth="1"/>
    <col min="21" max="21" width="11.421875" style="2" customWidth="1"/>
    <col min="22" max="22" width="11.28125" style="2" customWidth="1"/>
    <col min="23" max="23" width="11.421875" style="2" customWidth="1"/>
    <col min="24" max="24" width="11.421875" style="386" customWidth="1"/>
    <col min="25" max="25" width="11.421875" style="461" customWidth="1"/>
  </cols>
  <sheetData>
    <row r="1" spans="1:25" ht="12.75">
      <c r="A1" s="1113" t="s">
        <v>60</v>
      </c>
      <c r="B1" s="1113"/>
      <c r="C1" s="1113"/>
      <c r="D1" s="1113"/>
      <c r="E1" s="1113"/>
      <c r="F1" s="1113"/>
      <c r="G1" s="1113"/>
      <c r="H1" s="1113"/>
      <c r="I1" s="1113"/>
      <c r="J1" s="1113"/>
      <c r="K1" s="1113"/>
      <c r="L1" s="1113"/>
      <c r="M1" s="1113"/>
      <c r="N1" s="1113"/>
      <c r="O1" s="1113"/>
      <c r="P1" s="1113"/>
      <c r="Q1" s="1113"/>
      <c r="R1" s="1113"/>
      <c r="S1" s="1113"/>
      <c r="T1" s="1113"/>
      <c r="U1" s="1113"/>
      <c r="V1" s="1113"/>
      <c r="W1" s="1113"/>
      <c r="X1" s="1113"/>
      <c r="Y1" s="1113"/>
    </row>
    <row r="3" spans="1:25" ht="18" customHeight="1">
      <c r="A3" s="1109" t="s">
        <v>545</v>
      </c>
      <c r="B3" s="1109"/>
      <c r="C3" s="1109"/>
      <c r="D3" s="1109"/>
      <c r="E3" s="1109"/>
      <c r="F3" s="1109"/>
      <c r="G3" s="1109"/>
      <c r="H3" s="1109"/>
      <c r="I3" s="1109"/>
      <c r="J3" s="1109"/>
      <c r="K3" s="1109"/>
      <c r="L3" s="1109"/>
      <c r="M3" s="1109"/>
      <c r="N3" s="1109"/>
      <c r="O3" s="1109"/>
      <c r="P3" s="1109"/>
      <c r="Q3" s="1109"/>
      <c r="R3" s="1109"/>
      <c r="S3" s="1109"/>
      <c r="T3" s="1109"/>
      <c r="U3" s="1109"/>
      <c r="V3" s="1109"/>
      <c r="W3" s="1109"/>
      <c r="X3" s="1109"/>
      <c r="Y3" s="1114"/>
    </row>
    <row r="4" spans="1:25" ht="18" customHeight="1">
      <c r="A4" s="1111" t="s">
        <v>778</v>
      </c>
      <c r="B4" s="1111"/>
      <c r="C4" s="1111"/>
      <c r="D4" s="1111"/>
      <c r="E4" s="1111"/>
      <c r="F4" s="1111"/>
      <c r="G4" s="1111"/>
      <c r="H4" s="1111"/>
      <c r="I4" s="1111"/>
      <c r="J4" s="1111"/>
      <c r="K4" s="1111"/>
      <c r="L4" s="1111"/>
      <c r="M4" s="1111"/>
      <c r="N4" s="1111"/>
      <c r="O4" s="1111"/>
      <c r="P4" s="1111"/>
      <c r="Q4" s="1111"/>
      <c r="R4" s="1111"/>
      <c r="S4" s="1111"/>
      <c r="T4" s="1111"/>
      <c r="U4" s="1111"/>
      <c r="V4" s="1111"/>
      <c r="W4" s="1111"/>
      <c r="X4" s="1111"/>
      <c r="Y4" s="1107"/>
    </row>
    <row r="5" spans="1:12" ht="18" customHeight="1">
      <c r="A5" s="5"/>
      <c r="B5" s="136"/>
      <c r="C5" s="136"/>
      <c r="D5" s="136"/>
      <c r="E5" s="136"/>
      <c r="F5" s="136"/>
      <c r="G5" s="136"/>
      <c r="H5" s="136"/>
      <c r="I5" s="136"/>
      <c r="J5" s="136"/>
      <c r="K5" s="136"/>
      <c r="L5" s="136"/>
    </row>
    <row r="6" spans="1:25" ht="18" customHeight="1">
      <c r="A6" s="11"/>
      <c r="B6" s="290" t="s">
        <v>40</v>
      </c>
      <c r="C6" s="290" t="s">
        <v>41</v>
      </c>
      <c r="D6" s="290" t="s">
        <v>42</v>
      </c>
      <c r="E6" s="290" t="s">
        <v>43</v>
      </c>
      <c r="F6" s="290" t="s">
        <v>44</v>
      </c>
      <c r="G6" s="290" t="s">
        <v>45</v>
      </c>
      <c r="H6" s="290" t="s">
        <v>46</v>
      </c>
      <c r="I6" s="290" t="s">
        <v>47</v>
      </c>
      <c r="J6" s="290" t="s">
        <v>48</v>
      </c>
      <c r="K6" s="290" t="s">
        <v>49</v>
      </c>
      <c r="L6" s="290" t="s">
        <v>50</v>
      </c>
      <c r="M6" s="290" t="s">
        <v>51</v>
      </c>
      <c r="N6" s="290" t="s">
        <v>52</v>
      </c>
      <c r="O6" s="290" t="s">
        <v>53</v>
      </c>
      <c r="P6" s="290" t="s">
        <v>572</v>
      </c>
      <c r="Q6" s="290" t="s">
        <v>573</v>
      </c>
      <c r="R6" s="290" t="s">
        <v>574</v>
      </c>
      <c r="S6" s="290" t="s">
        <v>575</v>
      </c>
      <c r="T6" s="381" t="s">
        <v>650</v>
      </c>
      <c r="U6" s="290" t="s">
        <v>665</v>
      </c>
      <c r="V6" s="290" t="s">
        <v>701</v>
      </c>
      <c r="W6" s="290" t="s">
        <v>736</v>
      </c>
      <c r="X6" s="381" t="s">
        <v>798</v>
      </c>
      <c r="Y6" s="463" t="s">
        <v>799</v>
      </c>
    </row>
    <row r="7" spans="1:25" ht="18" customHeight="1">
      <c r="A7" s="173" t="s">
        <v>61</v>
      </c>
      <c r="B7" s="290"/>
      <c r="C7" s="290"/>
      <c r="D7" s="290"/>
      <c r="E7" s="290"/>
      <c r="F7" s="290"/>
      <c r="G7" s="290"/>
      <c r="H7" s="290"/>
      <c r="I7" s="290"/>
      <c r="J7" s="173"/>
      <c r="K7" s="173"/>
      <c r="L7" s="173"/>
      <c r="M7" s="173"/>
      <c r="N7" s="173"/>
      <c r="O7" s="173"/>
      <c r="P7" s="173"/>
      <c r="Q7" s="173"/>
      <c r="R7" s="173"/>
      <c r="S7" s="173"/>
      <c r="T7" s="387"/>
      <c r="U7" s="173"/>
      <c r="V7" s="173"/>
      <c r="W7" s="173"/>
      <c r="X7" s="387"/>
      <c r="Y7" s="933"/>
    </row>
    <row r="8" spans="1:25" ht="18" customHeight="1">
      <c r="A8" s="174" t="s">
        <v>62</v>
      </c>
      <c r="B8" s="172">
        <f>+B11+B14</f>
        <v>127775</v>
      </c>
      <c r="C8" s="172">
        <f aca="true" t="shared" si="0" ref="C8:R8">+C11+C14</f>
        <v>83013</v>
      </c>
      <c r="D8" s="172">
        <f t="shared" si="0"/>
        <v>109126</v>
      </c>
      <c r="E8" s="172">
        <f t="shared" si="0"/>
        <v>140244</v>
      </c>
      <c r="F8" s="172">
        <f t="shared" si="0"/>
        <v>154107</v>
      </c>
      <c r="G8" s="172">
        <f t="shared" si="0"/>
        <v>164048</v>
      </c>
      <c r="H8" s="172">
        <f t="shared" si="0"/>
        <v>172491</v>
      </c>
      <c r="I8" s="172">
        <f t="shared" si="0"/>
        <v>170867</v>
      </c>
      <c r="J8" s="172">
        <f t="shared" si="0"/>
        <v>184653</v>
      </c>
      <c r="K8" s="172">
        <f t="shared" si="0"/>
        <v>197632</v>
      </c>
      <c r="L8" s="172">
        <f t="shared" si="0"/>
        <v>199949</v>
      </c>
      <c r="M8" s="172">
        <f t="shared" si="0"/>
        <v>195137</v>
      </c>
      <c r="N8" s="172">
        <f t="shared" si="0"/>
        <v>226232</v>
      </c>
      <c r="O8" s="172">
        <f t="shared" si="0"/>
        <v>226769</v>
      </c>
      <c r="P8" s="172">
        <f t="shared" si="0"/>
        <v>245249</v>
      </c>
      <c r="Q8" s="172">
        <f t="shared" si="0"/>
        <v>244224</v>
      </c>
      <c r="R8" s="187">
        <f t="shared" si="0"/>
        <v>250590</v>
      </c>
      <c r="S8" s="187">
        <f aca="true" t="shared" si="1" ref="S8:Y9">+S11+S14</f>
        <v>262810</v>
      </c>
      <c r="T8" s="388">
        <f t="shared" si="1"/>
        <v>278723</v>
      </c>
      <c r="U8" s="172">
        <f t="shared" si="1"/>
        <v>289881</v>
      </c>
      <c r="V8" s="172">
        <f t="shared" si="1"/>
        <v>319773</v>
      </c>
      <c r="W8" s="172">
        <f t="shared" si="1"/>
        <v>300321</v>
      </c>
      <c r="X8" s="388">
        <f>+X11+X14</f>
        <v>248621</v>
      </c>
      <c r="Y8" s="932">
        <f t="shared" si="1"/>
        <v>256033</v>
      </c>
    </row>
    <row r="9" spans="1:25" ht="18" customHeight="1">
      <c r="A9" s="193" t="s">
        <v>63</v>
      </c>
      <c r="B9" s="172">
        <f>+B12+B15</f>
        <v>35953</v>
      </c>
      <c r="C9" s="187">
        <f aca="true" t="shared" si="2" ref="C9:R9">+C12+C15</f>
        <v>32862</v>
      </c>
      <c r="D9" s="187">
        <f t="shared" si="2"/>
        <v>35415</v>
      </c>
      <c r="E9" s="187">
        <f t="shared" si="2"/>
        <v>35916</v>
      </c>
      <c r="F9" s="187">
        <f t="shared" si="2"/>
        <v>34773</v>
      </c>
      <c r="G9" s="187">
        <f t="shared" si="2"/>
        <v>35945</v>
      </c>
      <c r="H9" s="187">
        <f t="shared" si="2"/>
        <v>36891</v>
      </c>
      <c r="I9" s="187">
        <f t="shared" si="2"/>
        <v>38219</v>
      </c>
      <c r="J9" s="187">
        <f t="shared" si="2"/>
        <v>38666</v>
      </c>
      <c r="K9" s="187">
        <f t="shared" si="2"/>
        <v>38782</v>
      </c>
      <c r="L9" s="187">
        <f t="shared" si="2"/>
        <v>41428</v>
      </c>
      <c r="M9" s="187">
        <f t="shared" si="2"/>
        <v>40749</v>
      </c>
      <c r="N9" s="187">
        <f t="shared" si="2"/>
        <v>44558</v>
      </c>
      <c r="O9" s="187">
        <f t="shared" si="2"/>
        <v>43131</v>
      </c>
      <c r="P9" s="187">
        <f t="shared" si="2"/>
        <v>48939</v>
      </c>
      <c r="Q9" s="187">
        <f t="shared" si="2"/>
        <v>49996</v>
      </c>
      <c r="R9" s="187">
        <f t="shared" si="2"/>
        <v>50450</v>
      </c>
      <c r="S9" s="187">
        <f t="shared" si="1"/>
        <v>49258</v>
      </c>
      <c r="T9" s="388">
        <f t="shared" si="1"/>
        <v>51355</v>
      </c>
      <c r="U9" s="172">
        <f t="shared" si="1"/>
        <v>52731</v>
      </c>
      <c r="V9" s="172">
        <f t="shared" si="1"/>
        <v>55541</v>
      </c>
      <c r="W9" s="172">
        <f t="shared" si="1"/>
        <v>58573</v>
      </c>
      <c r="X9" s="388">
        <f>+X12+X15</f>
        <v>57818</v>
      </c>
      <c r="Y9" s="932">
        <f t="shared" si="1"/>
        <v>55341</v>
      </c>
    </row>
    <row r="10" spans="1:25" ht="18" customHeight="1">
      <c r="A10" s="173" t="s">
        <v>64</v>
      </c>
      <c r="B10" s="171"/>
      <c r="C10" s="171"/>
      <c r="D10" s="171"/>
      <c r="E10" s="171"/>
      <c r="F10" s="171"/>
      <c r="G10" s="171"/>
      <c r="H10" s="171"/>
      <c r="I10" s="171"/>
      <c r="J10" s="175"/>
      <c r="K10" s="175"/>
      <c r="L10" s="175"/>
      <c r="M10" s="175"/>
      <c r="N10" s="175"/>
      <c r="O10" s="175"/>
      <c r="P10" s="175"/>
      <c r="Q10" s="175"/>
      <c r="R10" s="175"/>
      <c r="S10" s="175"/>
      <c r="T10" s="389"/>
      <c r="U10" s="175"/>
      <c r="V10" s="175"/>
      <c r="W10" s="175"/>
      <c r="X10" s="389"/>
      <c r="Y10" s="934"/>
    </row>
    <row r="11" spans="1:25" ht="18" customHeight="1">
      <c r="A11" s="193" t="s">
        <v>56</v>
      </c>
      <c r="B11" s="187">
        <v>23395</v>
      </c>
      <c r="C11" s="187">
        <v>18585</v>
      </c>
      <c r="D11" s="187">
        <f>20796-256</f>
        <v>20540</v>
      </c>
      <c r="E11" s="187">
        <f>21269-313</f>
        <v>20956</v>
      </c>
      <c r="F11" s="187">
        <v>19223</v>
      </c>
      <c r="G11" s="187">
        <v>20620</v>
      </c>
      <c r="H11" s="187">
        <v>21471</v>
      </c>
      <c r="I11" s="187">
        <v>22839</v>
      </c>
      <c r="J11" s="187">
        <v>23196</v>
      </c>
      <c r="K11" s="187">
        <v>23481</v>
      </c>
      <c r="L11" s="187">
        <v>24599</v>
      </c>
      <c r="M11" s="187">
        <v>24579</v>
      </c>
      <c r="N11" s="187">
        <v>25952</v>
      </c>
      <c r="O11" s="187">
        <v>25410</v>
      </c>
      <c r="P11" s="187">
        <v>26033</v>
      </c>
      <c r="Q11" s="187">
        <v>26661</v>
      </c>
      <c r="R11" s="187">
        <v>27646</v>
      </c>
      <c r="S11" s="187">
        <v>27710</v>
      </c>
      <c r="T11" s="388">
        <v>28031</v>
      </c>
      <c r="U11" s="172">
        <v>28724</v>
      </c>
      <c r="V11" s="172">
        <v>29014</v>
      </c>
      <c r="W11" s="172">
        <v>33938</v>
      </c>
      <c r="X11" s="388">
        <v>32864</v>
      </c>
      <c r="Y11" s="932">
        <v>30050</v>
      </c>
    </row>
    <row r="12" spans="1:25" ht="18" customHeight="1">
      <c r="A12" s="193" t="s">
        <v>57</v>
      </c>
      <c r="B12" s="187">
        <v>23395</v>
      </c>
      <c r="C12" s="187">
        <v>18585</v>
      </c>
      <c r="D12" s="187">
        <v>20540</v>
      </c>
      <c r="E12" s="187">
        <v>20956</v>
      </c>
      <c r="F12" s="187">
        <v>19223</v>
      </c>
      <c r="G12" s="187">
        <v>20620</v>
      </c>
      <c r="H12" s="187">
        <v>21471</v>
      </c>
      <c r="I12" s="187">
        <v>22839</v>
      </c>
      <c r="J12" s="187">
        <v>23196</v>
      </c>
      <c r="K12" s="187">
        <v>23481</v>
      </c>
      <c r="L12" s="187">
        <v>24599</v>
      </c>
      <c r="M12" s="187">
        <v>24579</v>
      </c>
      <c r="N12" s="187">
        <v>25952</v>
      </c>
      <c r="O12" s="187">
        <v>25410</v>
      </c>
      <c r="P12" s="187">
        <v>26033</v>
      </c>
      <c r="Q12" s="187">
        <v>26661</v>
      </c>
      <c r="R12" s="187">
        <v>27646</v>
      </c>
      <c r="S12" s="187">
        <v>27710</v>
      </c>
      <c r="T12" s="388">
        <v>28031</v>
      </c>
      <c r="U12" s="172">
        <v>28724</v>
      </c>
      <c r="V12" s="172">
        <v>29014</v>
      </c>
      <c r="W12" s="172">
        <v>33938</v>
      </c>
      <c r="X12" s="388">
        <v>32864</v>
      </c>
      <c r="Y12" s="932">
        <v>30050</v>
      </c>
    </row>
    <row r="13" spans="1:25" ht="18" customHeight="1">
      <c r="A13" s="176" t="s">
        <v>65</v>
      </c>
      <c r="B13" s="316"/>
      <c r="C13" s="316"/>
      <c r="D13" s="316"/>
      <c r="E13" s="316"/>
      <c r="F13" s="316"/>
      <c r="G13" s="316"/>
      <c r="H13" s="316"/>
      <c r="I13" s="316"/>
      <c r="J13" s="316"/>
      <c r="K13" s="316"/>
      <c r="L13" s="316"/>
      <c r="M13" s="316"/>
      <c r="N13" s="316"/>
      <c r="O13" s="316"/>
      <c r="P13" s="316"/>
      <c r="Q13" s="316"/>
      <c r="R13" s="316"/>
      <c r="S13" s="316"/>
      <c r="T13" s="390"/>
      <c r="U13" s="462"/>
      <c r="V13" s="462"/>
      <c r="W13" s="462"/>
      <c r="X13" s="390"/>
      <c r="Y13" s="935"/>
    </row>
    <row r="14" spans="1:25" ht="18" customHeight="1">
      <c r="A14" s="193" t="s">
        <v>570</v>
      </c>
      <c r="B14" s="187">
        <v>104380</v>
      </c>
      <c r="C14" s="187">
        <v>64428</v>
      </c>
      <c r="D14" s="187">
        <v>88586</v>
      </c>
      <c r="E14" s="187">
        <v>119288</v>
      </c>
      <c r="F14" s="187">
        <v>134884</v>
      </c>
      <c r="G14" s="187">
        <v>143428</v>
      </c>
      <c r="H14" s="187">
        <v>151020</v>
      </c>
      <c r="I14" s="187">
        <v>148028</v>
      </c>
      <c r="J14" s="187">
        <v>161457</v>
      </c>
      <c r="K14" s="187">
        <v>174151</v>
      </c>
      <c r="L14" s="187">
        <f>171802+3548</f>
        <v>175350</v>
      </c>
      <c r="M14" s="187">
        <f>167764+2794</f>
        <v>170558</v>
      </c>
      <c r="N14" s="187">
        <f>191709+8571</f>
        <v>200280</v>
      </c>
      <c r="O14" s="187">
        <v>201359</v>
      </c>
      <c r="P14" s="187">
        <f>204014+15202</f>
        <v>219216</v>
      </c>
      <c r="Q14" s="187">
        <v>217563</v>
      </c>
      <c r="R14" s="187">
        <v>222944</v>
      </c>
      <c r="S14" s="187">
        <v>235100</v>
      </c>
      <c r="T14" s="388">
        <v>250692</v>
      </c>
      <c r="U14" s="172">
        <v>261157</v>
      </c>
      <c r="V14" s="172">
        <v>290759</v>
      </c>
      <c r="W14" s="172">
        <v>266383</v>
      </c>
      <c r="X14" s="388">
        <v>215757</v>
      </c>
      <c r="Y14" s="932">
        <v>225983</v>
      </c>
    </row>
    <row r="15" spans="1:25" ht="18" customHeight="1">
      <c r="A15" s="193" t="s">
        <v>571</v>
      </c>
      <c r="B15" s="187">
        <v>12558</v>
      </c>
      <c r="C15" s="187">
        <v>14277</v>
      </c>
      <c r="D15" s="187">
        <v>14875</v>
      </c>
      <c r="E15" s="187">
        <v>14960</v>
      </c>
      <c r="F15" s="187">
        <v>15550</v>
      </c>
      <c r="G15" s="187">
        <v>15325</v>
      </c>
      <c r="H15" s="187">
        <v>15420</v>
      </c>
      <c r="I15" s="187">
        <v>15380</v>
      </c>
      <c r="J15" s="187">
        <v>15470</v>
      </c>
      <c r="K15" s="187">
        <v>15301</v>
      </c>
      <c r="L15" s="187">
        <f>14827+2002</f>
        <v>16829</v>
      </c>
      <c r="M15" s="187">
        <f>14259+1911</f>
        <v>16170</v>
      </c>
      <c r="N15" s="187">
        <f>14701+3905</f>
        <v>18606</v>
      </c>
      <c r="O15" s="187">
        <v>17721</v>
      </c>
      <c r="P15" s="187">
        <f>18191+4715</f>
        <v>22906</v>
      </c>
      <c r="Q15" s="187">
        <v>23335</v>
      </c>
      <c r="R15" s="187">
        <v>22804</v>
      </c>
      <c r="S15" s="187">
        <v>21548</v>
      </c>
      <c r="T15" s="388">
        <v>23324</v>
      </c>
      <c r="U15" s="172">
        <v>24007</v>
      </c>
      <c r="V15" s="172">
        <v>26527</v>
      </c>
      <c r="W15" s="172">
        <v>24635</v>
      </c>
      <c r="X15" s="388">
        <v>24954</v>
      </c>
      <c r="Y15" s="932">
        <v>25291</v>
      </c>
    </row>
    <row r="16" spans="1:12" ht="12.75">
      <c r="A16" s="17"/>
      <c r="B16" s="17"/>
      <c r="C16" s="17"/>
      <c r="D16" s="17"/>
      <c r="E16" s="17"/>
      <c r="F16" s="17"/>
      <c r="G16" s="17"/>
      <c r="H16" s="17"/>
      <c r="I16" s="17"/>
      <c r="J16" s="17"/>
      <c r="K16" s="17"/>
      <c r="L16" s="17"/>
    </row>
    <row r="17" spans="1:31" s="5" customFormat="1" ht="12.75">
      <c r="A17" s="6" t="s">
        <v>563</v>
      </c>
      <c r="B17" s="39"/>
      <c r="C17" s="39"/>
      <c r="D17" s="39"/>
      <c r="E17" s="39"/>
      <c r="F17" s="39"/>
      <c r="G17" s="39"/>
      <c r="H17" s="39"/>
      <c r="I17" s="12"/>
      <c r="J17" s="12"/>
      <c r="K17" s="12"/>
      <c r="L17" s="12"/>
      <c r="M17" s="12"/>
      <c r="N17" s="12"/>
      <c r="O17" s="12"/>
      <c r="P17" s="12"/>
      <c r="Q17" s="12"/>
      <c r="R17" s="12"/>
      <c r="S17" s="12"/>
      <c r="T17" s="12"/>
      <c r="U17" s="12"/>
      <c r="V17" s="12"/>
      <c r="W17" s="12"/>
      <c r="X17" s="995"/>
      <c r="Y17" s="464"/>
      <c r="Z17" s="2"/>
      <c r="AA17" s="2"/>
      <c r="AB17" s="12"/>
      <c r="AC17" s="12"/>
      <c r="AD17" s="12"/>
      <c r="AE17" s="12"/>
    </row>
    <row r="18" spans="1:12" ht="12.75">
      <c r="A18" s="6" t="s">
        <v>666</v>
      </c>
      <c r="B18" s="32"/>
      <c r="C18" s="32"/>
      <c r="D18" s="32"/>
      <c r="E18" s="32"/>
      <c r="F18" s="32"/>
      <c r="G18" s="32"/>
      <c r="H18" s="32"/>
      <c r="I18" s="32"/>
      <c r="J18" s="32"/>
      <c r="K18" s="32"/>
      <c r="L18" s="32"/>
    </row>
    <row r="19" spans="1:12" ht="12.75">
      <c r="A19" s="6" t="s">
        <v>564</v>
      </c>
      <c r="B19" s="32"/>
      <c r="C19" s="32"/>
      <c r="D19" s="32"/>
      <c r="E19" s="32"/>
      <c r="F19" s="32"/>
      <c r="G19" s="32"/>
      <c r="H19" s="32"/>
      <c r="I19" s="32"/>
      <c r="J19" s="32"/>
      <c r="K19" s="32"/>
      <c r="L19" s="32"/>
    </row>
    <row r="20" spans="1:12" ht="12.75">
      <c r="A20" s="6" t="s">
        <v>565</v>
      </c>
      <c r="B20" s="32"/>
      <c r="C20" s="32"/>
      <c r="D20" s="32"/>
      <c r="E20" s="32"/>
      <c r="F20" s="32"/>
      <c r="G20" s="32"/>
      <c r="H20" s="32"/>
      <c r="I20" s="32"/>
      <c r="J20" s="32"/>
      <c r="K20" s="32"/>
      <c r="L20" s="32"/>
    </row>
    <row r="21" spans="1:12" ht="12.75">
      <c r="A21" s="6" t="s">
        <v>566</v>
      </c>
      <c r="B21" s="7"/>
      <c r="C21" s="7"/>
      <c r="D21" s="7"/>
      <c r="E21" s="7"/>
      <c r="F21" s="7"/>
      <c r="G21" s="7"/>
      <c r="H21" s="7"/>
      <c r="I21" s="7"/>
      <c r="J21" s="7"/>
      <c r="K21" s="7"/>
      <c r="L21" s="7"/>
    </row>
    <row r="22" spans="1:12" ht="12.75">
      <c r="A22" s="6" t="s">
        <v>567</v>
      </c>
      <c r="B22" s="7"/>
      <c r="C22" s="7"/>
      <c r="D22" s="7"/>
      <c r="E22" s="7"/>
      <c r="F22" s="7"/>
      <c r="G22" s="7"/>
      <c r="H22" s="7"/>
      <c r="I22" s="7"/>
      <c r="J22" s="7"/>
      <c r="K22" s="7"/>
      <c r="L22" s="7"/>
    </row>
    <row r="23" spans="1:12" ht="12.75">
      <c r="A23" s="6" t="s">
        <v>568</v>
      </c>
      <c r="B23" s="32"/>
      <c r="C23" s="32"/>
      <c r="D23" s="32"/>
      <c r="E23" s="32"/>
      <c r="F23" s="32"/>
      <c r="G23" s="32"/>
      <c r="H23" s="32"/>
      <c r="I23" s="32"/>
      <c r="J23" s="32"/>
      <c r="K23" s="32"/>
      <c r="L23" s="32"/>
    </row>
    <row r="24" spans="1:12" ht="12.75">
      <c r="A24" s="6" t="s">
        <v>569</v>
      </c>
      <c r="B24" s="32"/>
      <c r="C24" s="32"/>
      <c r="D24" s="32"/>
      <c r="E24" s="32"/>
      <c r="F24" s="32"/>
      <c r="G24" s="32"/>
      <c r="H24" s="32"/>
      <c r="I24" s="32"/>
      <c r="J24" s="32"/>
      <c r="K24" s="32"/>
      <c r="L24" s="32"/>
    </row>
    <row r="25" spans="1:25" s="2" customFormat="1" ht="12.75">
      <c r="A25" s="6" t="s">
        <v>649</v>
      </c>
      <c r="B25" s="7"/>
      <c r="C25" s="7"/>
      <c r="D25" s="7"/>
      <c r="E25" s="7"/>
      <c r="F25" s="7"/>
      <c r="G25" s="7"/>
      <c r="H25" s="7"/>
      <c r="I25" s="7"/>
      <c r="J25" s="7"/>
      <c r="K25" s="7"/>
      <c r="L25" s="7"/>
      <c r="T25" s="386"/>
      <c r="X25" s="386"/>
      <c r="Y25" s="461"/>
    </row>
    <row r="26" spans="1:25" s="2" customFormat="1" ht="12.75">
      <c r="A26" s="6" t="s">
        <v>664</v>
      </c>
      <c r="B26" s="7"/>
      <c r="C26" s="7"/>
      <c r="D26" s="7"/>
      <c r="E26" s="7"/>
      <c r="F26" s="7"/>
      <c r="G26" s="7"/>
      <c r="H26" s="7"/>
      <c r="I26" s="7"/>
      <c r="J26" s="7"/>
      <c r="K26" s="7"/>
      <c r="L26" s="7"/>
      <c r="X26" s="386"/>
      <c r="Y26" s="461"/>
    </row>
    <row r="27" spans="1:25" s="2" customFormat="1" ht="12.75">
      <c r="A27" s="6" t="s">
        <v>700</v>
      </c>
      <c r="B27" s="7"/>
      <c r="C27" s="7"/>
      <c r="D27" s="7"/>
      <c r="E27" s="7"/>
      <c r="F27" s="7"/>
      <c r="G27" s="7"/>
      <c r="H27" s="7"/>
      <c r="I27" s="7"/>
      <c r="J27" s="7"/>
      <c r="K27" s="7"/>
      <c r="L27" s="7"/>
      <c r="X27" s="386"/>
      <c r="Y27" s="461"/>
    </row>
    <row r="28" spans="1:25" s="2" customFormat="1" ht="12.75">
      <c r="A28" s="6" t="s">
        <v>735</v>
      </c>
      <c r="B28" s="7"/>
      <c r="C28" s="7"/>
      <c r="D28" s="7"/>
      <c r="E28" s="7"/>
      <c r="F28" s="7"/>
      <c r="G28" s="7"/>
      <c r="H28" s="7"/>
      <c r="I28" s="7"/>
      <c r="J28" s="7"/>
      <c r="K28" s="7"/>
      <c r="L28" s="7"/>
      <c r="X28" s="386"/>
      <c r="Y28" s="461"/>
    </row>
    <row r="29" spans="1:12" s="386" customFormat="1" ht="12.75">
      <c r="A29" s="993" t="s">
        <v>796</v>
      </c>
      <c r="B29" s="994"/>
      <c r="C29" s="994"/>
      <c r="D29" s="994"/>
      <c r="E29" s="994"/>
      <c r="F29" s="994"/>
      <c r="G29" s="994"/>
      <c r="H29" s="994"/>
      <c r="I29" s="994"/>
      <c r="J29" s="994"/>
      <c r="K29" s="994"/>
      <c r="L29" s="994"/>
    </row>
    <row r="30" spans="1:24" s="461" customFormat="1" ht="12.75">
      <c r="A30" s="483" t="s">
        <v>797</v>
      </c>
      <c r="B30" s="484"/>
      <c r="C30" s="484"/>
      <c r="D30" s="484"/>
      <c r="E30" s="484"/>
      <c r="F30" s="484"/>
      <c r="G30" s="484"/>
      <c r="H30" s="484"/>
      <c r="I30" s="484"/>
      <c r="J30" s="484"/>
      <c r="K30" s="484"/>
      <c r="L30" s="484"/>
      <c r="W30" s="2"/>
      <c r="X30" s="386"/>
    </row>
    <row r="31" spans="1:12" ht="12.75">
      <c r="A31" s="6"/>
      <c r="B31" s="32"/>
      <c r="C31" s="32"/>
      <c r="D31" s="32"/>
      <c r="E31" s="32"/>
      <c r="F31" s="32"/>
      <c r="G31" s="32"/>
      <c r="H31" s="32"/>
      <c r="I31" s="32"/>
      <c r="J31" s="32"/>
      <c r="K31" s="32"/>
      <c r="L31" s="32"/>
    </row>
    <row r="32" spans="1:12" ht="12.75">
      <c r="A32" s="13" t="s">
        <v>59</v>
      </c>
      <c r="B32" s="166"/>
      <c r="C32" s="166"/>
      <c r="D32" s="166"/>
      <c r="E32" s="166"/>
      <c r="F32" s="166"/>
      <c r="G32" s="166"/>
      <c r="H32" s="166"/>
      <c r="I32" s="166"/>
      <c r="J32" s="166"/>
      <c r="K32" s="166"/>
      <c r="L32" s="166"/>
    </row>
    <row r="33" spans="1:25" ht="12.75">
      <c r="A33" s="1106" t="s">
        <v>795</v>
      </c>
      <c r="B33" s="1106"/>
      <c r="C33" s="1106"/>
      <c r="D33" s="1106"/>
      <c r="E33" s="1106"/>
      <c r="F33" s="1106"/>
      <c r="G33" s="1106"/>
      <c r="H33" s="1106"/>
      <c r="I33" s="1106"/>
      <c r="J33" s="1106"/>
      <c r="K33" s="1106"/>
      <c r="L33" s="1106"/>
      <c r="M33" s="1106"/>
      <c r="N33" s="1106"/>
      <c r="O33" s="1106"/>
      <c r="P33" s="1106"/>
      <c r="Q33" s="1106"/>
      <c r="R33" s="1106"/>
      <c r="S33" s="1106"/>
      <c r="T33" s="1106"/>
      <c r="U33" s="1106"/>
      <c r="V33" s="1106"/>
      <c r="W33" s="1106"/>
      <c r="X33" s="1106"/>
      <c r="Y33" s="1107"/>
    </row>
    <row r="34" spans="1:25" ht="12.75">
      <c r="A34" s="1106" t="s">
        <v>794</v>
      </c>
      <c r="B34" s="1106"/>
      <c r="C34" s="1106"/>
      <c r="D34" s="1106"/>
      <c r="E34" s="1106"/>
      <c r="F34" s="1106"/>
      <c r="G34" s="1106"/>
      <c r="H34" s="1106"/>
      <c r="I34" s="1106"/>
      <c r="J34" s="1106"/>
      <c r="K34" s="1106"/>
      <c r="L34" s="1106"/>
      <c r="M34" s="1106"/>
      <c r="N34" s="1106"/>
      <c r="O34" s="1106"/>
      <c r="P34" s="1106"/>
      <c r="Q34" s="1106"/>
      <c r="R34" s="1106"/>
      <c r="S34" s="1106"/>
      <c r="T34" s="1106"/>
      <c r="U34" s="1106"/>
      <c r="V34" s="1106"/>
      <c r="W34" s="1106"/>
      <c r="X34" s="1106"/>
      <c r="Y34" s="1107"/>
    </row>
  </sheetData>
  <sheetProtection/>
  <mergeCells count="5">
    <mergeCell ref="A34:Y34"/>
    <mergeCell ref="A1:Y1"/>
    <mergeCell ref="A3:Y3"/>
    <mergeCell ref="A4:Y4"/>
    <mergeCell ref="A33:Y33"/>
  </mergeCells>
  <printOptions horizontalCentered="1"/>
  <pageMargins left="0.7874015748031497" right="0.7874015748031497" top="0.984251968503937" bottom="0.984251968503937" header="0" footer="0"/>
  <pageSetup fitToHeight="1" fitToWidth="1" horizontalDpi="600" verticalDpi="600" orientation="landscape" scale="41"/>
</worksheet>
</file>

<file path=xl/worksheets/sheet30.xml><?xml version="1.0" encoding="utf-8"?>
<worksheet xmlns="http://schemas.openxmlformats.org/spreadsheetml/2006/main" xmlns:r="http://schemas.openxmlformats.org/officeDocument/2006/relationships">
  <sheetPr>
    <tabColor rgb="FF660066"/>
    <pageSetUpPr fitToPage="1"/>
  </sheetPr>
  <dimension ref="A1:Z30"/>
  <sheetViews>
    <sheetView zoomScalePageLayoutView="0" workbookViewId="0" topLeftCell="A1">
      <selection activeCell="A1" sqref="A1:X1"/>
    </sheetView>
  </sheetViews>
  <sheetFormatPr defaultColWidth="10.8515625" defaultRowHeight="12.75"/>
  <cols>
    <col min="1" max="1" width="45.7109375" style="65" customWidth="1"/>
    <col min="2" max="10" width="10.421875" style="65" customWidth="1"/>
    <col min="11" max="11" width="10.7109375" style="65" customWidth="1"/>
    <col min="12" max="21" width="10.421875" style="65" customWidth="1"/>
    <col min="22" max="22" width="10.421875" style="379" customWidth="1"/>
    <col min="23" max="23" width="10.421875" style="65" customWidth="1"/>
    <col min="24" max="24" width="10.421875" style="1008" customWidth="1"/>
    <col min="25" max="16384" width="10.8515625" style="65" customWidth="1"/>
  </cols>
  <sheetData>
    <row r="1" spans="1:24" ht="12" customHeight="1">
      <c r="A1" s="1171" t="s">
        <v>823</v>
      </c>
      <c r="B1" s="1171"/>
      <c r="C1" s="1171"/>
      <c r="D1" s="1171"/>
      <c r="E1" s="1171"/>
      <c r="F1" s="1171"/>
      <c r="G1" s="1171"/>
      <c r="H1" s="1171"/>
      <c r="I1" s="1171"/>
      <c r="J1" s="1171"/>
      <c r="K1" s="1171"/>
      <c r="L1" s="1171"/>
      <c r="M1" s="1171"/>
      <c r="N1" s="1171"/>
      <c r="O1" s="1171"/>
      <c r="P1" s="1171"/>
      <c r="Q1" s="1171"/>
      <c r="R1" s="1171"/>
      <c r="S1" s="1171"/>
      <c r="T1" s="1171"/>
      <c r="U1" s="1171"/>
      <c r="V1" s="1171"/>
      <c r="W1" s="1171"/>
      <c r="X1" s="1123"/>
    </row>
    <row r="2" spans="1:11" ht="12" customHeight="1">
      <c r="A2" s="393"/>
      <c r="B2" s="393"/>
      <c r="C2" s="393"/>
      <c r="D2" s="393"/>
      <c r="E2" s="393"/>
      <c r="F2" s="393"/>
      <c r="G2" s="393"/>
      <c r="H2" s="393"/>
      <c r="I2" s="393"/>
      <c r="J2" s="393"/>
      <c r="K2" s="393"/>
    </row>
    <row r="3" spans="1:24" ht="18" customHeight="1">
      <c r="A3" s="1116" t="s">
        <v>554</v>
      </c>
      <c r="B3" s="1123"/>
      <c r="C3" s="1123"/>
      <c r="D3" s="1123"/>
      <c r="E3" s="1123"/>
      <c r="F3" s="1123"/>
      <c r="G3" s="1123"/>
      <c r="H3" s="1123"/>
      <c r="I3" s="1123"/>
      <c r="J3" s="1123"/>
      <c r="K3" s="1123"/>
      <c r="L3" s="1123"/>
      <c r="M3" s="1123"/>
      <c r="N3" s="1123"/>
      <c r="O3" s="1123"/>
      <c r="P3" s="1123"/>
      <c r="Q3" s="1123"/>
      <c r="R3" s="1123"/>
      <c r="S3" s="1123"/>
      <c r="T3" s="1123"/>
      <c r="U3" s="1123"/>
      <c r="V3" s="1123"/>
      <c r="W3" s="1123"/>
      <c r="X3" s="1123"/>
    </row>
    <row r="4" spans="1:24" ht="18" customHeight="1">
      <c r="A4" s="1117" t="s">
        <v>720</v>
      </c>
      <c r="B4" s="1117"/>
      <c r="C4" s="1117"/>
      <c r="D4" s="1117"/>
      <c r="E4" s="1117"/>
      <c r="F4" s="1117"/>
      <c r="G4" s="1117"/>
      <c r="H4" s="1117"/>
      <c r="I4" s="1117"/>
      <c r="J4" s="1117"/>
      <c r="K4" s="1117"/>
      <c r="L4" s="1117"/>
      <c r="M4" s="1117"/>
      <c r="N4" s="1117"/>
      <c r="O4" s="1117"/>
      <c r="P4" s="1117"/>
      <c r="Q4" s="1117"/>
      <c r="R4" s="1117"/>
      <c r="S4" s="1117"/>
      <c r="T4" s="1117"/>
      <c r="U4" s="1117"/>
      <c r="V4" s="1117"/>
      <c r="W4" s="1117"/>
      <c r="X4" s="1125"/>
    </row>
    <row r="5" ht="18" customHeight="1"/>
    <row r="6" spans="2:24" ht="18" customHeight="1">
      <c r="B6" s="509">
        <v>2000</v>
      </c>
      <c r="C6" s="509">
        <v>2001</v>
      </c>
      <c r="D6" s="509">
        <v>2002</v>
      </c>
      <c r="E6" s="509">
        <v>2003</v>
      </c>
      <c r="F6" s="509">
        <v>2004</v>
      </c>
      <c r="G6" s="509">
        <v>2005</v>
      </c>
      <c r="H6" s="509">
        <v>2006</v>
      </c>
      <c r="I6" s="509">
        <v>2007</v>
      </c>
      <c r="J6" s="509">
        <v>2008</v>
      </c>
      <c r="K6" s="509">
        <v>2009</v>
      </c>
      <c r="L6" s="509">
        <v>2010</v>
      </c>
      <c r="M6" s="509">
        <v>2011</v>
      </c>
      <c r="N6" s="509">
        <v>2012</v>
      </c>
      <c r="O6" s="509">
        <v>2013</v>
      </c>
      <c r="P6" s="509">
        <v>2014</v>
      </c>
      <c r="Q6" s="509">
        <v>2015</v>
      </c>
      <c r="R6" s="509">
        <v>2016</v>
      </c>
      <c r="S6" s="509">
        <v>2017</v>
      </c>
      <c r="T6" s="509">
        <v>2018</v>
      </c>
      <c r="U6" s="509">
        <v>2019</v>
      </c>
      <c r="V6" s="708">
        <v>2020</v>
      </c>
      <c r="W6" s="509">
        <v>2021</v>
      </c>
      <c r="X6" s="1009">
        <v>2022</v>
      </c>
    </row>
    <row r="7" spans="1:24" ht="18" customHeight="1">
      <c r="A7" s="510" t="s">
        <v>313</v>
      </c>
      <c r="B7" s="511">
        <f aca="true" t="shared" si="0" ref="B7:K7">SUM(B8:B10)</f>
        <v>1612</v>
      </c>
      <c r="C7" s="511">
        <f t="shared" si="0"/>
        <v>1485</v>
      </c>
      <c r="D7" s="511">
        <f t="shared" si="0"/>
        <v>1914</v>
      </c>
      <c r="E7" s="511">
        <f t="shared" si="0"/>
        <v>1790</v>
      </c>
      <c r="F7" s="511">
        <f t="shared" si="0"/>
        <v>1968</v>
      </c>
      <c r="G7" s="511">
        <f t="shared" si="0"/>
        <v>2148</v>
      </c>
      <c r="H7" s="511">
        <f t="shared" si="0"/>
        <v>1972</v>
      </c>
      <c r="I7" s="511">
        <f t="shared" si="0"/>
        <v>1667.142857142857</v>
      </c>
      <c r="J7" s="511">
        <f t="shared" si="0"/>
        <v>1692</v>
      </c>
      <c r="K7" s="511">
        <f t="shared" si="0"/>
        <v>1802</v>
      </c>
      <c r="L7" s="511">
        <f>SUM(L8:L10)</f>
        <v>1696</v>
      </c>
      <c r="M7" s="511">
        <f aca="true" t="shared" si="1" ref="M7:X7">SUM(M8:M10)</f>
        <v>1608</v>
      </c>
      <c r="N7" s="511">
        <f t="shared" si="1"/>
        <v>1616</v>
      </c>
      <c r="O7" s="511">
        <f t="shared" si="1"/>
        <v>1619</v>
      </c>
      <c r="P7" s="511">
        <f t="shared" si="1"/>
        <v>1717</v>
      </c>
      <c r="Q7" s="511">
        <f t="shared" si="1"/>
        <v>1602</v>
      </c>
      <c r="R7" s="511">
        <f t="shared" si="1"/>
        <v>1570</v>
      </c>
      <c r="S7" s="511">
        <f t="shared" si="1"/>
        <v>1697</v>
      </c>
      <c r="T7" s="511">
        <f t="shared" si="1"/>
        <v>1594</v>
      </c>
      <c r="U7" s="511">
        <f>SUM(U8:U10)</f>
        <v>1639</v>
      </c>
      <c r="V7" s="805">
        <f>SUM(V8:V10)</f>
        <v>1623</v>
      </c>
      <c r="W7" s="511">
        <f>SUM(W8:W10)</f>
        <v>1628</v>
      </c>
      <c r="X7" s="1037">
        <f t="shared" si="1"/>
        <v>1632</v>
      </c>
    </row>
    <row r="8" spans="1:24" ht="18" customHeight="1">
      <c r="A8" s="512" t="s">
        <v>314</v>
      </c>
      <c r="B8" s="374">
        <v>319</v>
      </c>
      <c r="C8" s="374">
        <v>288</v>
      </c>
      <c r="D8" s="374">
        <v>326</v>
      </c>
      <c r="E8" s="374">
        <v>316</v>
      </c>
      <c r="F8" s="374">
        <v>245</v>
      </c>
      <c r="G8" s="374">
        <v>296</v>
      </c>
      <c r="H8" s="374">
        <v>247</v>
      </c>
      <c r="I8" s="374">
        <v>327</v>
      </c>
      <c r="J8" s="374">
        <v>242</v>
      </c>
      <c r="K8" s="374">
        <v>350</v>
      </c>
      <c r="L8" s="374">
        <v>257</v>
      </c>
      <c r="M8" s="374">
        <v>172</v>
      </c>
      <c r="N8" s="374">
        <v>291</v>
      </c>
      <c r="O8" s="374">
        <v>246</v>
      </c>
      <c r="P8" s="374">
        <v>318</v>
      </c>
      <c r="Q8" s="374">
        <v>305</v>
      </c>
      <c r="R8" s="374">
        <v>287</v>
      </c>
      <c r="S8" s="374">
        <v>286</v>
      </c>
      <c r="T8" s="374">
        <v>276</v>
      </c>
      <c r="U8" s="374">
        <v>265</v>
      </c>
      <c r="V8" s="757">
        <v>306</v>
      </c>
      <c r="W8" s="374">
        <v>324</v>
      </c>
      <c r="X8" s="985">
        <v>330</v>
      </c>
    </row>
    <row r="9" spans="1:25" ht="18" customHeight="1">
      <c r="A9" s="512" t="s">
        <v>315</v>
      </c>
      <c r="B9" s="374">
        <v>461</v>
      </c>
      <c r="C9" s="374">
        <v>361</v>
      </c>
      <c r="D9" s="374">
        <v>508</v>
      </c>
      <c r="E9" s="374">
        <v>413</v>
      </c>
      <c r="F9" s="374">
        <v>589</v>
      </c>
      <c r="G9" s="374">
        <v>510</v>
      </c>
      <c r="H9" s="374">
        <v>563</v>
      </c>
      <c r="I9" s="374">
        <f>510/630*666</f>
        <v>539.1428571428571</v>
      </c>
      <c r="J9" s="374">
        <v>537</v>
      </c>
      <c r="K9" s="374">
        <v>532</v>
      </c>
      <c r="L9" s="374">
        <v>550</v>
      </c>
      <c r="M9" s="374">
        <v>508</v>
      </c>
      <c r="N9" s="374">
        <v>478</v>
      </c>
      <c r="O9" s="374">
        <v>466</v>
      </c>
      <c r="P9" s="374">
        <v>519</v>
      </c>
      <c r="Q9" s="374">
        <v>419</v>
      </c>
      <c r="R9" s="374">
        <v>387</v>
      </c>
      <c r="S9" s="374">
        <v>535</v>
      </c>
      <c r="T9" s="374">
        <v>426</v>
      </c>
      <c r="U9" s="374">
        <v>492</v>
      </c>
      <c r="V9" s="757">
        <v>437</v>
      </c>
      <c r="W9" s="374">
        <v>425</v>
      </c>
      <c r="X9" s="985">
        <v>420</v>
      </c>
      <c r="Y9" s="408"/>
    </row>
    <row r="10" spans="1:24" ht="18" customHeight="1">
      <c r="A10" s="512" t="s">
        <v>316</v>
      </c>
      <c r="B10" s="513">
        <v>832</v>
      </c>
      <c r="C10" s="513">
        <v>836</v>
      </c>
      <c r="D10" s="513">
        <v>1080</v>
      </c>
      <c r="E10" s="513">
        <v>1061</v>
      </c>
      <c r="F10" s="513">
        <v>1134</v>
      </c>
      <c r="G10" s="513">
        <v>1342</v>
      </c>
      <c r="H10" s="513">
        <v>1162</v>
      </c>
      <c r="I10" s="513">
        <v>801</v>
      </c>
      <c r="J10" s="513">
        <v>913</v>
      </c>
      <c r="K10" s="513">
        <v>920</v>
      </c>
      <c r="L10" s="513">
        <v>889</v>
      </c>
      <c r="M10" s="513">
        <v>928</v>
      </c>
      <c r="N10" s="513">
        <v>847</v>
      </c>
      <c r="O10" s="513">
        <v>907</v>
      </c>
      <c r="P10" s="513">
        <v>880</v>
      </c>
      <c r="Q10" s="513">
        <v>878</v>
      </c>
      <c r="R10" s="513">
        <v>896</v>
      </c>
      <c r="S10" s="513">
        <v>876</v>
      </c>
      <c r="T10" s="513">
        <v>892</v>
      </c>
      <c r="U10" s="513">
        <v>882</v>
      </c>
      <c r="V10" s="806">
        <v>880</v>
      </c>
      <c r="W10" s="513">
        <v>879</v>
      </c>
      <c r="X10" s="1036">
        <v>882</v>
      </c>
    </row>
    <row r="11" spans="1:24" ht="18" customHeight="1">
      <c r="A11" s="510" t="s">
        <v>317</v>
      </c>
      <c r="B11" s="511">
        <f aca="true" t="shared" si="2" ref="B11:K11">SUM(B12:B14)</f>
        <v>2827</v>
      </c>
      <c r="C11" s="511">
        <f t="shared" si="2"/>
        <v>3006</v>
      </c>
      <c r="D11" s="511">
        <f t="shared" si="2"/>
        <v>3066</v>
      </c>
      <c r="E11" s="511">
        <f t="shared" si="2"/>
        <v>3195</v>
      </c>
      <c r="F11" s="511">
        <f t="shared" si="2"/>
        <v>3255</v>
      </c>
      <c r="G11" s="511">
        <f t="shared" si="2"/>
        <v>3627</v>
      </c>
      <c r="H11" s="511">
        <f t="shared" si="2"/>
        <v>3494</v>
      </c>
      <c r="I11" s="511">
        <f t="shared" si="2"/>
        <v>3797</v>
      </c>
      <c r="J11" s="511">
        <f t="shared" si="2"/>
        <v>3894</v>
      </c>
      <c r="K11" s="511">
        <f t="shared" si="2"/>
        <v>3579</v>
      </c>
      <c r="L11" s="511">
        <f>SUM(L12:L14)</f>
        <v>3970</v>
      </c>
      <c r="M11" s="511">
        <f aca="true" t="shared" si="3" ref="M11:X11">SUM(M12:M14)</f>
        <v>3950</v>
      </c>
      <c r="N11" s="511">
        <f t="shared" si="3"/>
        <v>4193</v>
      </c>
      <c r="O11" s="511">
        <f t="shared" si="3"/>
        <v>4421</v>
      </c>
      <c r="P11" s="511">
        <f t="shared" si="3"/>
        <v>4406</v>
      </c>
      <c r="Q11" s="511">
        <f t="shared" si="3"/>
        <v>4524</v>
      </c>
      <c r="R11" s="511">
        <f t="shared" si="3"/>
        <v>5059</v>
      </c>
      <c r="S11" s="511">
        <f t="shared" si="3"/>
        <v>4896</v>
      </c>
      <c r="T11" s="511">
        <f t="shared" si="3"/>
        <v>5384</v>
      </c>
      <c r="U11" s="511">
        <f>SUM(U12:U14)</f>
        <v>5533</v>
      </c>
      <c r="V11" s="805">
        <f>SUM(V12:V14)</f>
        <v>5570</v>
      </c>
      <c r="W11" s="511">
        <f>SUM(W12:W14)</f>
        <v>5839</v>
      </c>
      <c r="X11" s="1037">
        <f t="shared" si="3"/>
        <v>5912</v>
      </c>
    </row>
    <row r="12" spans="1:24" ht="18" customHeight="1">
      <c r="A12" s="512" t="s">
        <v>314</v>
      </c>
      <c r="B12" s="374">
        <v>1999</v>
      </c>
      <c r="C12" s="374">
        <v>2208</v>
      </c>
      <c r="D12" s="374">
        <v>2083</v>
      </c>
      <c r="E12" s="374">
        <v>2142</v>
      </c>
      <c r="F12" s="374">
        <v>2094</v>
      </c>
      <c r="G12" s="374">
        <v>2350</v>
      </c>
      <c r="H12" s="374">
        <v>2342</v>
      </c>
      <c r="I12" s="374">
        <v>2608</v>
      </c>
      <c r="J12" s="374">
        <v>2712</v>
      </c>
      <c r="K12" s="374">
        <v>2421</v>
      </c>
      <c r="L12" s="374">
        <v>2809</v>
      </c>
      <c r="M12" s="374">
        <v>2783</v>
      </c>
      <c r="N12" s="374">
        <v>3018</v>
      </c>
      <c r="O12" s="374">
        <v>3228</v>
      </c>
      <c r="P12" s="374">
        <v>3247</v>
      </c>
      <c r="Q12" s="374">
        <v>3249</v>
      </c>
      <c r="R12" s="374">
        <v>3778</v>
      </c>
      <c r="S12" s="374">
        <v>3600</v>
      </c>
      <c r="T12" s="374">
        <v>4136</v>
      </c>
      <c r="U12" s="374">
        <v>4246</v>
      </c>
      <c r="V12" s="757">
        <v>4214</v>
      </c>
      <c r="W12" s="374">
        <v>4460</v>
      </c>
      <c r="X12" s="985">
        <v>4534</v>
      </c>
    </row>
    <row r="13" spans="1:26" ht="18" customHeight="1">
      <c r="A13" s="512" t="s">
        <v>315</v>
      </c>
      <c r="B13" s="374">
        <v>106</v>
      </c>
      <c r="C13" s="374">
        <v>112</v>
      </c>
      <c r="D13" s="374">
        <v>105</v>
      </c>
      <c r="E13" s="374">
        <v>107</v>
      </c>
      <c r="F13" s="374">
        <v>120</v>
      </c>
      <c r="G13" s="374">
        <v>120</v>
      </c>
      <c r="H13" s="374">
        <v>179</v>
      </c>
      <c r="I13" s="374">
        <v>127</v>
      </c>
      <c r="J13" s="374">
        <v>194</v>
      </c>
      <c r="K13" s="374">
        <v>174</v>
      </c>
      <c r="L13" s="374">
        <v>197</v>
      </c>
      <c r="M13" s="374">
        <v>202</v>
      </c>
      <c r="N13" s="374">
        <v>207</v>
      </c>
      <c r="O13" s="374">
        <v>240</v>
      </c>
      <c r="P13" s="374">
        <v>211</v>
      </c>
      <c r="Q13" s="374">
        <v>329</v>
      </c>
      <c r="R13" s="374">
        <v>323</v>
      </c>
      <c r="S13" s="374">
        <v>347</v>
      </c>
      <c r="T13" s="374">
        <v>323</v>
      </c>
      <c r="U13" s="374">
        <v>353</v>
      </c>
      <c r="V13" s="757">
        <v>426</v>
      </c>
      <c r="W13" s="374">
        <v>453</v>
      </c>
      <c r="X13" s="985">
        <v>446</v>
      </c>
      <c r="Z13" s="408"/>
    </row>
    <row r="14" spans="1:24" ht="18" customHeight="1">
      <c r="A14" s="512" t="s">
        <v>316</v>
      </c>
      <c r="B14" s="513">
        <v>722</v>
      </c>
      <c r="C14" s="513">
        <v>686</v>
      </c>
      <c r="D14" s="513">
        <v>878</v>
      </c>
      <c r="E14" s="513">
        <v>946</v>
      </c>
      <c r="F14" s="513">
        <v>1041</v>
      </c>
      <c r="G14" s="513">
        <v>1157</v>
      </c>
      <c r="H14" s="513">
        <v>973</v>
      </c>
      <c r="I14" s="513">
        <v>1062</v>
      </c>
      <c r="J14" s="513">
        <v>988</v>
      </c>
      <c r="K14" s="513">
        <v>984</v>
      </c>
      <c r="L14" s="513">
        <v>964</v>
      </c>
      <c r="M14" s="513">
        <v>965</v>
      </c>
      <c r="N14" s="513">
        <v>968</v>
      </c>
      <c r="O14" s="513">
        <v>953</v>
      </c>
      <c r="P14" s="513">
        <v>948</v>
      </c>
      <c r="Q14" s="513">
        <v>946</v>
      </c>
      <c r="R14" s="513">
        <v>958</v>
      </c>
      <c r="S14" s="513">
        <v>949</v>
      </c>
      <c r="T14" s="513">
        <v>925</v>
      </c>
      <c r="U14" s="513">
        <v>934</v>
      </c>
      <c r="V14" s="806">
        <v>930</v>
      </c>
      <c r="W14" s="513">
        <v>926</v>
      </c>
      <c r="X14" s="1036">
        <v>932</v>
      </c>
    </row>
    <row r="15" spans="1:24" ht="18" customHeight="1">
      <c r="A15" s="510" t="s">
        <v>318</v>
      </c>
      <c r="B15" s="511">
        <f aca="true" t="shared" si="4" ref="B15:K15">SUM(B16:B18)</f>
        <v>1077</v>
      </c>
      <c r="C15" s="511">
        <f t="shared" si="4"/>
        <v>1207</v>
      </c>
      <c r="D15" s="511">
        <f t="shared" si="4"/>
        <v>1627</v>
      </c>
      <c r="E15" s="511">
        <f t="shared" si="4"/>
        <v>1498</v>
      </c>
      <c r="F15" s="511">
        <f t="shared" si="4"/>
        <v>1602</v>
      </c>
      <c r="G15" s="511">
        <f t="shared" si="4"/>
        <v>1957</v>
      </c>
      <c r="H15" s="511">
        <f t="shared" si="4"/>
        <v>2218</v>
      </c>
      <c r="I15" s="511">
        <f t="shared" si="4"/>
        <v>2320</v>
      </c>
      <c r="J15" s="511">
        <f t="shared" si="4"/>
        <v>2637</v>
      </c>
      <c r="K15" s="511">
        <f t="shared" si="4"/>
        <v>2515</v>
      </c>
      <c r="L15" s="511">
        <f>SUM(L16:L18)</f>
        <v>2944</v>
      </c>
      <c r="M15" s="511">
        <f aca="true" t="shared" si="5" ref="M15:X15">SUM(M16:M18)</f>
        <v>2789</v>
      </c>
      <c r="N15" s="511">
        <f t="shared" si="5"/>
        <v>2893</v>
      </c>
      <c r="O15" s="511">
        <f t="shared" si="5"/>
        <v>2580</v>
      </c>
      <c r="P15" s="511">
        <f t="shared" si="5"/>
        <v>2891</v>
      </c>
      <c r="Q15" s="511">
        <f t="shared" si="5"/>
        <v>2723</v>
      </c>
      <c r="R15" s="511">
        <f t="shared" si="5"/>
        <v>2815</v>
      </c>
      <c r="S15" s="511">
        <f t="shared" si="5"/>
        <v>2874</v>
      </c>
      <c r="T15" s="511">
        <f t="shared" si="5"/>
        <v>2899</v>
      </c>
      <c r="U15" s="511">
        <f>SUM(U16:U18)</f>
        <v>2774</v>
      </c>
      <c r="V15" s="805">
        <f>SUM(V16:V18)</f>
        <v>2895</v>
      </c>
      <c r="W15" s="511">
        <f>SUM(W16:W18)</f>
        <v>3020</v>
      </c>
      <c r="X15" s="1037">
        <f t="shared" si="5"/>
        <v>3186</v>
      </c>
    </row>
    <row r="16" spans="1:24" ht="18" customHeight="1">
      <c r="A16" s="512" t="s">
        <v>314</v>
      </c>
      <c r="B16" s="374">
        <v>241</v>
      </c>
      <c r="C16" s="374">
        <v>303</v>
      </c>
      <c r="D16" s="374">
        <v>402</v>
      </c>
      <c r="E16" s="374">
        <v>456</v>
      </c>
      <c r="F16" s="374">
        <v>400</v>
      </c>
      <c r="G16" s="374">
        <v>511</v>
      </c>
      <c r="H16" s="374">
        <v>400</v>
      </c>
      <c r="I16" s="374">
        <v>566</v>
      </c>
      <c r="J16" s="374">
        <v>540</v>
      </c>
      <c r="K16" s="374">
        <v>450</v>
      </c>
      <c r="L16" s="374">
        <v>665</v>
      </c>
      <c r="M16" s="374">
        <v>583</v>
      </c>
      <c r="N16" s="374">
        <v>555</v>
      </c>
      <c r="O16" s="374">
        <v>532</v>
      </c>
      <c r="P16" s="374">
        <v>593</v>
      </c>
      <c r="Q16" s="374">
        <v>426</v>
      </c>
      <c r="R16" s="374">
        <v>547</v>
      </c>
      <c r="S16" s="374">
        <v>492</v>
      </c>
      <c r="T16" s="374">
        <v>473</v>
      </c>
      <c r="U16" s="374">
        <v>431</v>
      </c>
      <c r="V16" s="757">
        <v>461</v>
      </c>
      <c r="W16" s="374">
        <v>415</v>
      </c>
      <c r="X16" s="985">
        <v>520</v>
      </c>
    </row>
    <row r="17" spans="1:24" ht="18" customHeight="1">
      <c r="A17" s="512" t="s">
        <v>315</v>
      </c>
      <c r="B17" s="374">
        <v>519</v>
      </c>
      <c r="C17" s="374">
        <v>452</v>
      </c>
      <c r="D17" s="374">
        <v>595</v>
      </c>
      <c r="E17" s="374">
        <v>440</v>
      </c>
      <c r="F17" s="374">
        <v>569</v>
      </c>
      <c r="G17" s="374">
        <v>637</v>
      </c>
      <c r="H17" s="374">
        <v>847</v>
      </c>
      <c r="I17" s="374">
        <v>817</v>
      </c>
      <c r="J17" s="374">
        <v>877</v>
      </c>
      <c r="K17" s="374">
        <v>1031</v>
      </c>
      <c r="L17" s="374">
        <v>1118</v>
      </c>
      <c r="M17" s="374">
        <v>999</v>
      </c>
      <c r="N17" s="374">
        <v>1160</v>
      </c>
      <c r="O17" s="374">
        <v>862</v>
      </c>
      <c r="P17" s="374">
        <v>1103</v>
      </c>
      <c r="Q17" s="374">
        <v>1093</v>
      </c>
      <c r="R17" s="374">
        <v>1022</v>
      </c>
      <c r="S17" s="374">
        <v>1146</v>
      </c>
      <c r="T17" s="374">
        <v>1179</v>
      </c>
      <c r="U17" s="374">
        <v>1088</v>
      </c>
      <c r="V17" s="757">
        <v>1169</v>
      </c>
      <c r="W17" s="374">
        <v>1330</v>
      </c>
      <c r="X17" s="985">
        <v>1377</v>
      </c>
    </row>
    <row r="18" spans="1:24" ht="18" customHeight="1">
      <c r="A18" s="512" t="s">
        <v>316</v>
      </c>
      <c r="B18" s="513">
        <v>317</v>
      </c>
      <c r="C18" s="513">
        <v>452</v>
      </c>
      <c r="D18" s="513">
        <v>630</v>
      </c>
      <c r="E18" s="513">
        <v>602</v>
      </c>
      <c r="F18" s="513">
        <v>633</v>
      </c>
      <c r="G18" s="513">
        <v>809</v>
      </c>
      <c r="H18" s="513">
        <v>971</v>
      </c>
      <c r="I18" s="513">
        <v>937</v>
      </c>
      <c r="J18" s="513">
        <v>1220</v>
      </c>
      <c r="K18" s="513">
        <v>1034</v>
      </c>
      <c r="L18" s="513">
        <v>1161</v>
      </c>
      <c r="M18" s="513">
        <v>1207</v>
      </c>
      <c r="N18" s="513">
        <v>1178</v>
      </c>
      <c r="O18" s="513">
        <v>1186</v>
      </c>
      <c r="P18" s="513">
        <v>1195</v>
      </c>
      <c r="Q18" s="513">
        <v>1204</v>
      </c>
      <c r="R18" s="513">
        <v>1246</v>
      </c>
      <c r="S18" s="513">
        <v>1236</v>
      </c>
      <c r="T18" s="513">
        <v>1247</v>
      </c>
      <c r="U18" s="513">
        <v>1255</v>
      </c>
      <c r="V18" s="806">
        <v>1265</v>
      </c>
      <c r="W18" s="513">
        <v>1275</v>
      </c>
      <c r="X18" s="1036">
        <v>1289</v>
      </c>
    </row>
    <row r="19" spans="1:24" ht="18" customHeight="1">
      <c r="A19" s="510" t="s">
        <v>319</v>
      </c>
      <c r="B19" s="511">
        <f aca="true" t="shared" si="6" ref="B19:K19">SUM(B20:B22)</f>
        <v>822</v>
      </c>
      <c r="C19" s="511">
        <f t="shared" si="6"/>
        <v>634</v>
      </c>
      <c r="D19" s="511">
        <f t="shared" si="6"/>
        <v>1062</v>
      </c>
      <c r="E19" s="511">
        <f t="shared" si="6"/>
        <v>1159</v>
      </c>
      <c r="F19" s="511">
        <f t="shared" si="6"/>
        <v>963</v>
      </c>
      <c r="G19" s="511">
        <f t="shared" si="6"/>
        <v>1188</v>
      </c>
      <c r="H19" s="511">
        <f t="shared" si="6"/>
        <v>1170</v>
      </c>
      <c r="I19" s="511">
        <f t="shared" si="6"/>
        <v>1157</v>
      </c>
      <c r="J19" s="511">
        <f t="shared" si="6"/>
        <v>1129</v>
      </c>
      <c r="K19" s="511">
        <f t="shared" si="6"/>
        <v>1171</v>
      </c>
      <c r="L19" s="511">
        <f>SUM(L20:L22)</f>
        <v>1169</v>
      </c>
      <c r="M19" s="511">
        <f aca="true" t="shared" si="7" ref="M19:X19">SUM(M20:M22)</f>
        <v>1118</v>
      </c>
      <c r="N19" s="511">
        <f t="shared" si="7"/>
        <v>1327</v>
      </c>
      <c r="O19" s="511">
        <f t="shared" si="7"/>
        <v>1211</v>
      </c>
      <c r="P19" s="511">
        <f t="shared" si="7"/>
        <v>1170</v>
      </c>
      <c r="Q19" s="511">
        <f t="shared" si="7"/>
        <v>1273</v>
      </c>
      <c r="R19" s="511">
        <f t="shared" si="7"/>
        <v>1139</v>
      </c>
      <c r="S19" s="511">
        <f t="shared" si="7"/>
        <v>1282</v>
      </c>
      <c r="T19" s="511">
        <f t="shared" si="7"/>
        <v>1224</v>
      </c>
      <c r="U19" s="511">
        <f>SUM(U20:U22)</f>
        <v>1241</v>
      </c>
      <c r="V19" s="805">
        <f>SUM(V20:V22)</f>
        <v>1198</v>
      </c>
      <c r="W19" s="511">
        <f>SUM(W20:W22)</f>
        <v>1244</v>
      </c>
      <c r="X19" s="1037">
        <f t="shared" si="7"/>
        <v>1221</v>
      </c>
    </row>
    <row r="20" spans="1:24" ht="18" customHeight="1">
      <c r="A20" s="512" t="s">
        <v>314</v>
      </c>
      <c r="B20" s="374">
        <v>59</v>
      </c>
      <c r="C20" s="374">
        <v>59</v>
      </c>
      <c r="D20" s="374">
        <v>102</v>
      </c>
      <c r="E20" s="374">
        <v>100</v>
      </c>
      <c r="F20" s="374">
        <v>97</v>
      </c>
      <c r="G20" s="374">
        <v>118</v>
      </c>
      <c r="H20" s="374">
        <v>121</v>
      </c>
      <c r="I20" s="374">
        <v>149</v>
      </c>
      <c r="J20" s="374">
        <v>102</v>
      </c>
      <c r="K20" s="374">
        <v>144</v>
      </c>
      <c r="L20" s="374">
        <v>135</v>
      </c>
      <c r="M20" s="374">
        <v>147</v>
      </c>
      <c r="N20" s="374">
        <v>196</v>
      </c>
      <c r="O20" s="374">
        <v>185</v>
      </c>
      <c r="P20" s="374">
        <v>109</v>
      </c>
      <c r="Q20" s="374">
        <v>163</v>
      </c>
      <c r="R20" s="374">
        <v>112</v>
      </c>
      <c r="S20" s="374">
        <v>157</v>
      </c>
      <c r="T20" s="374">
        <v>168</v>
      </c>
      <c r="U20" s="374">
        <v>141</v>
      </c>
      <c r="V20" s="757">
        <v>158</v>
      </c>
      <c r="W20" s="374">
        <v>141</v>
      </c>
      <c r="X20" s="985">
        <v>111</v>
      </c>
    </row>
    <row r="21" spans="1:24" ht="18" customHeight="1">
      <c r="A21" s="512" t="s">
        <v>315</v>
      </c>
      <c r="B21" s="374">
        <v>498</v>
      </c>
      <c r="C21" s="374">
        <v>261</v>
      </c>
      <c r="D21" s="374">
        <v>547</v>
      </c>
      <c r="E21" s="374">
        <v>561</v>
      </c>
      <c r="F21" s="374">
        <v>378</v>
      </c>
      <c r="G21" s="374">
        <v>423</v>
      </c>
      <c r="H21" s="374">
        <v>418</v>
      </c>
      <c r="I21" s="374">
        <v>489</v>
      </c>
      <c r="J21" s="374">
        <v>469</v>
      </c>
      <c r="K21" s="374">
        <v>531</v>
      </c>
      <c r="L21" s="374">
        <v>533</v>
      </c>
      <c r="M21" s="374">
        <v>446</v>
      </c>
      <c r="N21" s="374">
        <v>609</v>
      </c>
      <c r="O21" s="374">
        <v>482</v>
      </c>
      <c r="P21" s="374">
        <v>534</v>
      </c>
      <c r="Q21" s="374">
        <v>582</v>
      </c>
      <c r="R21" s="374">
        <v>483</v>
      </c>
      <c r="S21" s="374">
        <v>589</v>
      </c>
      <c r="T21" s="374">
        <v>518</v>
      </c>
      <c r="U21" s="374">
        <v>553</v>
      </c>
      <c r="V21" s="757">
        <v>490</v>
      </c>
      <c r="W21" s="374">
        <v>549</v>
      </c>
      <c r="X21" s="985">
        <v>553</v>
      </c>
    </row>
    <row r="22" spans="1:24" ht="18" customHeight="1">
      <c r="A22" s="512" t="s">
        <v>316</v>
      </c>
      <c r="B22" s="513">
        <v>265</v>
      </c>
      <c r="C22" s="513">
        <v>314</v>
      </c>
      <c r="D22" s="513">
        <v>413</v>
      </c>
      <c r="E22" s="513">
        <v>498</v>
      </c>
      <c r="F22" s="513">
        <v>488</v>
      </c>
      <c r="G22" s="513">
        <v>647</v>
      </c>
      <c r="H22" s="513">
        <v>631</v>
      </c>
      <c r="I22" s="513">
        <v>519</v>
      </c>
      <c r="J22" s="513">
        <v>558</v>
      </c>
      <c r="K22" s="513">
        <v>496</v>
      </c>
      <c r="L22" s="513">
        <v>501</v>
      </c>
      <c r="M22" s="513">
        <v>525</v>
      </c>
      <c r="N22" s="513">
        <v>522</v>
      </c>
      <c r="O22" s="513">
        <v>544</v>
      </c>
      <c r="P22" s="513">
        <v>527</v>
      </c>
      <c r="Q22" s="513">
        <v>528</v>
      </c>
      <c r="R22" s="513">
        <v>544</v>
      </c>
      <c r="S22" s="513">
        <v>536</v>
      </c>
      <c r="T22" s="513">
        <v>538</v>
      </c>
      <c r="U22" s="513">
        <v>547</v>
      </c>
      <c r="V22" s="806">
        <v>550</v>
      </c>
      <c r="W22" s="513">
        <v>554</v>
      </c>
      <c r="X22" s="1036">
        <v>557</v>
      </c>
    </row>
    <row r="23" spans="1:24" ht="18" customHeight="1">
      <c r="A23" s="510" t="s">
        <v>320</v>
      </c>
      <c r="B23" s="511">
        <f aca="true" t="shared" si="8" ref="B23:X23">SUM(B24:B24)</f>
        <v>432.2208306508929</v>
      </c>
      <c r="C23" s="511">
        <f t="shared" si="8"/>
        <v>477.4105022897306</v>
      </c>
      <c r="D23" s="511">
        <f t="shared" si="8"/>
        <v>450.383186716263</v>
      </c>
      <c r="E23" s="511">
        <f t="shared" si="8"/>
        <v>463.1400796669397</v>
      </c>
      <c r="F23" s="511">
        <f t="shared" si="8"/>
        <v>490.58052147239266</v>
      </c>
      <c r="G23" s="511">
        <f t="shared" si="8"/>
        <v>550.555981595092</v>
      </c>
      <c r="H23" s="511">
        <f t="shared" si="8"/>
        <v>608</v>
      </c>
      <c r="I23" s="511">
        <f t="shared" si="8"/>
        <v>611</v>
      </c>
      <c r="J23" s="511">
        <f t="shared" si="8"/>
        <v>591</v>
      </c>
      <c r="K23" s="511">
        <f t="shared" si="8"/>
        <v>470</v>
      </c>
      <c r="L23" s="511">
        <f t="shared" si="8"/>
        <v>492</v>
      </c>
      <c r="M23" s="511">
        <f t="shared" si="8"/>
        <v>561</v>
      </c>
      <c r="N23" s="511">
        <f t="shared" si="8"/>
        <v>668</v>
      </c>
      <c r="O23" s="511">
        <f t="shared" si="8"/>
        <v>635</v>
      </c>
      <c r="P23" s="511">
        <f t="shared" si="8"/>
        <v>819</v>
      </c>
      <c r="Q23" s="511">
        <f t="shared" si="8"/>
        <v>714</v>
      </c>
      <c r="R23" s="511">
        <f t="shared" si="8"/>
        <v>516</v>
      </c>
      <c r="S23" s="511">
        <f t="shared" si="8"/>
        <v>641</v>
      </c>
      <c r="T23" s="511">
        <f t="shared" si="8"/>
        <v>741</v>
      </c>
      <c r="U23" s="511">
        <f t="shared" si="8"/>
        <v>609</v>
      </c>
      <c r="V23" s="805">
        <f t="shared" si="8"/>
        <v>745</v>
      </c>
      <c r="W23" s="511">
        <f t="shared" si="8"/>
        <v>617</v>
      </c>
      <c r="X23" s="1037">
        <f t="shared" si="8"/>
        <v>588</v>
      </c>
    </row>
    <row r="24" spans="1:24" ht="18" customHeight="1">
      <c r="A24" s="512" t="s">
        <v>314</v>
      </c>
      <c r="B24" s="374">
        <v>432.2208306508929</v>
      </c>
      <c r="C24" s="374">
        <v>477.4105022897306</v>
      </c>
      <c r="D24" s="374">
        <v>450.383186716263</v>
      </c>
      <c r="E24" s="374">
        <v>463.1400796669397</v>
      </c>
      <c r="F24" s="374">
        <v>490.58052147239266</v>
      </c>
      <c r="G24" s="374">
        <v>550.555981595092</v>
      </c>
      <c r="H24" s="374">
        <v>608</v>
      </c>
      <c r="I24" s="374">
        <v>611</v>
      </c>
      <c r="J24" s="374">
        <v>591</v>
      </c>
      <c r="K24" s="374">
        <v>470</v>
      </c>
      <c r="L24" s="374">
        <v>492</v>
      </c>
      <c r="M24" s="374">
        <v>561</v>
      </c>
      <c r="N24" s="374">
        <v>668</v>
      </c>
      <c r="O24" s="374">
        <v>635</v>
      </c>
      <c r="P24" s="374">
        <v>819</v>
      </c>
      <c r="Q24" s="374">
        <v>714</v>
      </c>
      <c r="R24" s="374">
        <v>516</v>
      </c>
      <c r="S24" s="374">
        <v>641</v>
      </c>
      <c r="T24" s="374">
        <v>741</v>
      </c>
      <c r="U24" s="374">
        <v>609</v>
      </c>
      <c r="V24" s="757">
        <v>745</v>
      </c>
      <c r="W24" s="374">
        <v>617</v>
      </c>
      <c r="X24" s="985">
        <v>588</v>
      </c>
    </row>
    <row r="25" spans="2:11" ht="12" customHeight="1">
      <c r="B25" s="360"/>
      <c r="C25" s="360"/>
      <c r="D25" s="360"/>
      <c r="E25" s="360"/>
      <c r="F25" s="360"/>
      <c r="G25" s="360"/>
      <c r="H25" s="360"/>
      <c r="I25" s="360"/>
      <c r="J25" s="360"/>
      <c r="K25" s="360"/>
    </row>
    <row r="26" spans="1:25" s="516" customFormat="1" ht="12.75">
      <c r="A26" s="514" t="s">
        <v>822</v>
      </c>
      <c r="B26" s="515"/>
      <c r="C26" s="515"/>
      <c r="D26" s="515"/>
      <c r="E26" s="515"/>
      <c r="F26" s="515"/>
      <c r="G26" s="515"/>
      <c r="H26" s="515"/>
      <c r="I26" s="515"/>
      <c r="J26" s="515"/>
      <c r="K26" s="515"/>
      <c r="L26" s="515"/>
      <c r="M26" s="515"/>
      <c r="N26" s="515"/>
      <c r="O26" s="515"/>
      <c r="P26" s="53"/>
      <c r="Q26" s="53"/>
      <c r="R26" s="53"/>
      <c r="S26" s="53"/>
      <c r="T26" s="53"/>
      <c r="U26" s="53"/>
      <c r="V26" s="685"/>
      <c r="W26" s="53"/>
      <c r="X26" s="1022"/>
      <c r="Y26" s="65"/>
    </row>
    <row r="27" spans="1:25" ht="12.75">
      <c r="A27" s="517"/>
      <c r="Y27" s="515"/>
    </row>
    <row r="28" spans="1:11" ht="12.75">
      <c r="A28" s="53" t="s">
        <v>721</v>
      </c>
      <c r="B28" s="518"/>
      <c r="C28" s="360"/>
      <c r="D28" s="360"/>
      <c r="E28" s="360"/>
      <c r="F28" s="360"/>
      <c r="G28" s="360"/>
      <c r="H28" s="360"/>
      <c r="I28" s="360"/>
      <c r="J28" s="360"/>
      <c r="K28" s="360"/>
    </row>
    <row r="29" spans="1:24" ht="12.75">
      <c r="A29" s="1118" t="s">
        <v>780</v>
      </c>
      <c r="B29" s="1118"/>
      <c r="C29" s="1118"/>
      <c r="D29" s="1118"/>
      <c r="E29" s="1118"/>
      <c r="F29" s="1118"/>
      <c r="G29" s="1118"/>
      <c r="H29" s="1118"/>
      <c r="I29" s="1118"/>
      <c r="J29" s="1118"/>
      <c r="K29" s="1118"/>
      <c r="L29" s="1118"/>
      <c r="M29" s="1118"/>
      <c r="N29" s="1118"/>
      <c r="O29" s="1118"/>
      <c r="P29" s="1118"/>
      <c r="Q29" s="1118"/>
      <c r="R29" s="1118"/>
      <c r="S29" s="1118"/>
      <c r="T29" s="1118"/>
      <c r="U29" s="1118"/>
      <c r="V29" s="1118"/>
      <c r="W29" s="1118"/>
      <c r="X29" s="1125"/>
    </row>
    <row r="30" spans="1:24" ht="12.75">
      <c r="A30" s="1118" t="s">
        <v>824</v>
      </c>
      <c r="B30" s="1118"/>
      <c r="C30" s="1118"/>
      <c r="D30" s="1118"/>
      <c r="E30" s="1118"/>
      <c r="F30" s="1118"/>
      <c r="G30" s="1118"/>
      <c r="H30" s="1118"/>
      <c r="I30" s="1118"/>
      <c r="J30" s="1118"/>
      <c r="K30" s="1118"/>
      <c r="L30" s="1118"/>
      <c r="M30" s="1118"/>
      <c r="N30" s="1118"/>
      <c r="O30" s="1118"/>
      <c r="P30" s="1118"/>
      <c r="Q30" s="1118"/>
      <c r="R30" s="1118"/>
      <c r="S30" s="1118"/>
      <c r="T30" s="1118"/>
      <c r="U30" s="1118"/>
      <c r="V30" s="1118"/>
      <c r="W30" s="1118"/>
      <c r="X30" s="1125"/>
    </row>
  </sheetData>
  <sheetProtection/>
  <mergeCells count="5">
    <mergeCell ref="A1:X1"/>
    <mergeCell ref="A3:X3"/>
    <mergeCell ref="A4:X4"/>
    <mergeCell ref="A29:X29"/>
    <mergeCell ref="A30:X30"/>
  </mergeCells>
  <printOptions horizontalCentered="1"/>
  <pageMargins left="0.7900000000000001" right="0.7900000000000001" top="1.18" bottom="0.7900000000000001" header="0" footer="0"/>
  <pageSetup fitToHeight="1" fitToWidth="1" horizontalDpi="600" verticalDpi="600" orientation="landscape" scale="44"/>
</worksheet>
</file>

<file path=xl/worksheets/sheet31.xml><?xml version="1.0" encoding="utf-8"?>
<worksheet xmlns="http://schemas.openxmlformats.org/spreadsheetml/2006/main" xmlns:r="http://schemas.openxmlformats.org/officeDocument/2006/relationships">
  <sheetPr>
    <tabColor rgb="FF660066"/>
    <pageSetUpPr fitToPage="1"/>
  </sheetPr>
  <dimension ref="A1:X25"/>
  <sheetViews>
    <sheetView zoomScalePageLayoutView="0" workbookViewId="0" topLeftCell="A1">
      <selection activeCell="A1" sqref="A1:X1"/>
    </sheetView>
  </sheetViews>
  <sheetFormatPr defaultColWidth="10.8515625" defaultRowHeight="12.75"/>
  <cols>
    <col min="1" max="1" width="36.8515625" style="5" customWidth="1"/>
    <col min="2" max="15" width="10.8515625" style="5" customWidth="1"/>
    <col min="16" max="17" width="10.8515625" style="17" customWidth="1"/>
    <col min="18" max="22" width="10.8515625" style="5" customWidth="1"/>
    <col min="23" max="23" width="10.8515625" style="473" customWidth="1"/>
    <col min="24" max="16384" width="10.8515625" style="5" customWidth="1"/>
  </cols>
  <sheetData>
    <row r="1" spans="1:23" ht="12.75">
      <c r="A1" s="1175" t="s">
        <v>586</v>
      </c>
      <c r="B1" s="1176"/>
      <c r="C1" s="1176"/>
      <c r="D1" s="1176"/>
      <c r="E1" s="1176"/>
      <c r="F1" s="1176"/>
      <c r="G1" s="1176"/>
      <c r="H1" s="1176"/>
      <c r="I1" s="1176"/>
      <c r="J1" s="1176"/>
      <c r="K1" s="1176"/>
      <c r="L1" s="1176"/>
      <c r="M1" s="1176"/>
      <c r="N1" s="1176"/>
      <c r="O1" s="1176"/>
      <c r="P1" s="1176"/>
      <c r="Q1" s="1176"/>
      <c r="R1" s="1176"/>
      <c r="S1" s="1176"/>
      <c r="T1" s="1176"/>
      <c r="U1" s="1176"/>
      <c r="V1" s="1176"/>
      <c r="W1" s="1176"/>
    </row>
    <row r="2" spans="1:11" ht="12.75">
      <c r="A2" s="291"/>
      <c r="B2" s="291"/>
      <c r="C2" s="291"/>
      <c r="D2" s="291"/>
      <c r="E2" s="291"/>
      <c r="F2" s="291"/>
      <c r="G2" s="291"/>
      <c r="H2" s="291"/>
      <c r="I2" s="291"/>
      <c r="J2" s="17"/>
      <c r="K2" s="17"/>
    </row>
    <row r="3" spans="1:23" ht="18" customHeight="1">
      <c r="A3" s="1109" t="s">
        <v>503</v>
      </c>
      <c r="B3" s="1109"/>
      <c r="C3" s="1109"/>
      <c r="D3" s="1109"/>
      <c r="E3" s="1109"/>
      <c r="F3" s="1109"/>
      <c r="G3" s="1109"/>
      <c r="H3" s="1109"/>
      <c r="I3" s="1109"/>
      <c r="J3" s="1109"/>
      <c r="K3" s="1109"/>
      <c r="L3" s="1109"/>
      <c r="M3" s="1109"/>
      <c r="N3" s="1109"/>
      <c r="O3" s="1109"/>
      <c r="P3" s="1109"/>
      <c r="Q3" s="1109"/>
      <c r="R3" s="1109"/>
      <c r="S3" s="1109"/>
      <c r="T3" s="1109"/>
      <c r="U3" s="1109"/>
      <c r="V3" s="1109"/>
      <c r="W3" s="1109"/>
    </row>
    <row r="4" spans="1:23" ht="18" customHeight="1">
      <c r="A4" s="1111" t="s">
        <v>800</v>
      </c>
      <c r="B4" s="1111"/>
      <c r="C4" s="1111"/>
      <c r="D4" s="1111"/>
      <c r="E4" s="1111"/>
      <c r="F4" s="1111"/>
      <c r="G4" s="1111"/>
      <c r="H4" s="1111"/>
      <c r="I4" s="1111"/>
      <c r="J4" s="1111"/>
      <c r="K4" s="1111"/>
      <c r="L4" s="1111"/>
      <c r="M4" s="1111"/>
      <c r="N4" s="1111"/>
      <c r="O4" s="1111"/>
      <c r="P4" s="1111"/>
      <c r="Q4" s="1111"/>
      <c r="R4" s="1111"/>
      <c r="S4" s="1111"/>
      <c r="T4" s="1111"/>
      <c r="U4" s="1111"/>
      <c r="V4" s="1111"/>
      <c r="W4" s="1111"/>
    </row>
    <row r="5" ht="18" customHeight="1"/>
    <row r="6" spans="2:23" ht="18" customHeight="1">
      <c r="B6" s="290" t="s">
        <v>108</v>
      </c>
      <c r="C6" s="290" t="s">
        <v>109</v>
      </c>
      <c r="D6" s="290" t="s">
        <v>110</v>
      </c>
      <c r="E6" s="290" t="s">
        <v>111</v>
      </c>
      <c r="F6" s="290" t="s">
        <v>112</v>
      </c>
      <c r="G6" s="290" t="s">
        <v>126</v>
      </c>
      <c r="H6" s="290">
        <v>2007</v>
      </c>
      <c r="I6" s="290">
        <v>2008</v>
      </c>
      <c r="J6" s="290">
        <v>2009</v>
      </c>
      <c r="K6" s="290">
        <v>2010</v>
      </c>
      <c r="L6" s="290">
        <v>2011</v>
      </c>
      <c r="M6" s="290">
        <v>2012</v>
      </c>
      <c r="N6" s="290">
        <v>2013</v>
      </c>
      <c r="O6" s="290">
        <v>2014</v>
      </c>
      <c r="P6" s="290">
        <v>2015</v>
      </c>
      <c r="Q6" s="290">
        <v>2016</v>
      </c>
      <c r="R6" s="290">
        <v>2017</v>
      </c>
      <c r="S6" s="290">
        <v>2018</v>
      </c>
      <c r="T6" s="290">
        <v>2019</v>
      </c>
      <c r="U6" s="290">
        <v>2020</v>
      </c>
      <c r="V6" s="290">
        <v>2021</v>
      </c>
      <c r="W6" s="463">
        <v>2022</v>
      </c>
    </row>
    <row r="7" spans="1:23" s="11" customFormat="1" ht="18" customHeight="1">
      <c r="A7" s="173" t="s">
        <v>504</v>
      </c>
      <c r="B7" s="192">
        <f>B8+B14</f>
        <v>1053</v>
      </c>
      <c r="C7" s="192">
        <f aca="true" t="shared" si="0" ref="C7:W7">C8+C14</f>
        <v>1444.6666666666667</v>
      </c>
      <c r="D7" s="192">
        <f t="shared" si="0"/>
        <v>1606.3333333333335</v>
      </c>
      <c r="E7" s="192">
        <f t="shared" si="0"/>
        <v>1606</v>
      </c>
      <c r="F7" s="192">
        <f t="shared" si="0"/>
        <v>1769.6666666666665</v>
      </c>
      <c r="G7" s="192">
        <f t="shared" si="0"/>
        <v>1849.6666666666665</v>
      </c>
      <c r="H7" s="192">
        <f t="shared" si="0"/>
        <v>1819</v>
      </c>
      <c r="I7" s="192">
        <f t="shared" si="0"/>
        <v>1804</v>
      </c>
      <c r="J7" s="192">
        <f t="shared" si="0"/>
        <v>2024</v>
      </c>
      <c r="K7" s="192">
        <f t="shared" si="0"/>
        <v>2056</v>
      </c>
      <c r="L7" s="192">
        <f t="shared" si="0"/>
        <v>2226</v>
      </c>
      <c r="M7" s="192">
        <f t="shared" si="0"/>
        <v>2262</v>
      </c>
      <c r="N7" s="192">
        <f t="shared" si="0"/>
        <v>2364</v>
      </c>
      <c r="O7" s="192">
        <f aca="true" t="shared" si="1" ref="O7:V7">O8+O14</f>
        <v>2506</v>
      </c>
      <c r="P7" s="192">
        <f t="shared" si="1"/>
        <v>2572</v>
      </c>
      <c r="Q7" s="192">
        <f t="shared" si="1"/>
        <v>2535</v>
      </c>
      <c r="R7" s="192">
        <f t="shared" si="1"/>
        <v>2703</v>
      </c>
      <c r="S7" s="192">
        <f t="shared" si="1"/>
        <v>2824</v>
      </c>
      <c r="T7" s="192">
        <f t="shared" si="1"/>
        <v>2719</v>
      </c>
      <c r="U7" s="192">
        <f t="shared" si="1"/>
        <v>1766</v>
      </c>
      <c r="V7" s="192">
        <f t="shared" si="1"/>
        <v>2249</v>
      </c>
      <c r="W7" s="482">
        <f t="shared" si="0"/>
        <v>2472</v>
      </c>
    </row>
    <row r="8" spans="1:24" ht="17.25" customHeight="1">
      <c r="A8" s="176" t="s">
        <v>314</v>
      </c>
      <c r="B8" s="177">
        <f aca="true" t="shared" si="2" ref="B8:W8">SUM(B9:B10)</f>
        <v>782</v>
      </c>
      <c r="C8" s="177">
        <f t="shared" si="2"/>
        <v>1072</v>
      </c>
      <c r="D8" s="177">
        <f t="shared" si="2"/>
        <v>1208</v>
      </c>
      <c r="E8" s="177">
        <f t="shared" si="2"/>
        <v>1143</v>
      </c>
      <c r="F8" s="177">
        <f t="shared" si="2"/>
        <v>1237</v>
      </c>
      <c r="G8" s="177">
        <f t="shared" si="2"/>
        <v>1278</v>
      </c>
      <c r="H8" s="177">
        <f t="shared" si="2"/>
        <v>1291</v>
      </c>
      <c r="I8" s="177">
        <f t="shared" si="2"/>
        <v>1353</v>
      </c>
      <c r="J8" s="177">
        <f t="shared" si="2"/>
        <v>1379</v>
      </c>
      <c r="K8" s="177">
        <f t="shared" si="2"/>
        <v>1328</v>
      </c>
      <c r="L8" s="177">
        <f t="shared" si="2"/>
        <v>1603</v>
      </c>
      <c r="M8" s="177">
        <f t="shared" si="2"/>
        <v>1559</v>
      </c>
      <c r="N8" s="177">
        <f t="shared" si="2"/>
        <v>1690</v>
      </c>
      <c r="O8" s="177">
        <f aca="true" t="shared" si="3" ref="O8:V8">SUM(O9:O10)</f>
        <v>1766</v>
      </c>
      <c r="P8" s="177">
        <f t="shared" si="3"/>
        <v>1735</v>
      </c>
      <c r="Q8" s="177">
        <f t="shared" si="3"/>
        <v>1756</v>
      </c>
      <c r="R8" s="177">
        <f t="shared" si="3"/>
        <v>1956</v>
      </c>
      <c r="S8" s="177">
        <f t="shared" si="3"/>
        <v>2047</v>
      </c>
      <c r="T8" s="177">
        <f t="shared" si="3"/>
        <v>2007</v>
      </c>
      <c r="U8" s="177">
        <f t="shared" si="3"/>
        <v>1338</v>
      </c>
      <c r="V8" s="177">
        <f t="shared" si="3"/>
        <v>1527</v>
      </c>
      <c r="W8" s="891">
        <f t="shared" si="2"/>
        <v>1730</v>
      </c>
      <c r="X8" s="137"/>
    </row>
    <row r="9" spans="1:24" ht="17.25" customHeight="1">
      <c r="A9" s="193" t="s">
        <v>73</v>
      </c>
      <c r="B9" s="181">
        <v>382</v>
      </c>
      <c r="C9" s="181">
        <v>561</v>
      </c>
      <c r="D9" s="181">
        <v>617</v>
      </c>
      <c r="E9" s="181">
        <v>601</v>
      </c>
      <c r="F9" s="181">
        <v>602</v>
      </c>
      <c r="G9" s="181">
        <v>598</v>
      </c>
      <c r="H9" s="181">
        <v>624</v>
      </c>
      <c r="I9" s="181">
        <v>652</v>
      </c>
      <c r="J9" s="181">
        <v>656</v>
      </c>
      <c r="K9" s="181">
        <v>552</v>
      </c>
      <c r="L9" s="181">
        <v>783</v>
      </c>
      <c r="M9" s="181">
        <v>675</v>
      </c>
      <c r="N9" s="181">
        <v>688</v>
      </c>
      <c r="O9" s="181">
        <v>737</v>
      </c>
      <c r="P9" s="170">
        <v>721</v>
      </c>
      <c r="Q9" s="170">
        <v>701</v>
      </c>
      <c r="R9" s="181">
        <v>791</v>
      </c>
      <c r="S9" s="181">
        <v>890</v>
      </c>
      <c r="T9" s="181">
        <v>856</v>
      </c>
      <c r="U9" s="181">
        <v>434</v>
      </c>
      <c r="V9" s="181">
        <v>563</v>
      </c>
      <c r="W9" s="465">
        <v>736</v>
      </c>
      <c r="X9" s="137"/>
    </row>
    <row r="10" spans="1:24" ht="17.25" customHeight="1">
      <c r="A10" s="193" t="s">
        <v>74</v>
      </c>
      <c r="B10" s="181">
        <f>SUM(B11:B13)</f>
        <v>400</v>
      </c>
      <c r="C10" s="181">
        <f aca="true" t="shared" si="4" ref="C10:N10">SUM(C11:C13)</f>
        <v>511</v>
      </c>
      <c r="D10" s="181">
        <f t="shared" si="4"/>
        <v>591</v>
      </c>
      <c r="E10" s="181">
        <f t="shared" si="4"/>
        <v>542</v>
      </c>
      <c r="F10" s="181">
        <f t="shared" si="4"/>
        <v>635</v>
      </c>
      <c r="G10" s="181">
        <f t="shared" si="4"/>
        <v>680</v>
      </c>
      <c r="H10" s="181">
        <f t="shared" si="4"/>
        <v>667</v>
      </c>
      <c r="I10" s="181">
        <f t="shared" si="4"/>
        <v>701</v>
      </c>
      <c r="J10" s="181">
        <f t="shared" si="4"/>
        <v>723</v>
      </c>
      <c r="K10" s="181">
        <f t="shared" si="4"/>
        <v>776</v>
      </c>
      <c r="L10" s="181">
        <f t="shared" si="4"/>
        <v>820</v>
      </c>
      <c r="M10" s="181">
        <f t="shared" si="4"/>
        <v>884</v>
      </c>
      <c r="N10" s="181">
        <f t="shared" si="4"/>
        <v>1002</v>
      </c>
      <c r="O10" s="181">
        <f aca="true" t="shared" si="5" ref="O10:T10">SUM(O11:O13)</f>
        <v>1029</v>
      </c>
      <c r="P10" s="170">
        <f t="shared" si="5"/>
        <v>1014</v>
      </c>
      <c r="Q10" s="170">
        <f t="shared" si="5"/>
        <v>1055</v>
      </c>
      <c r="R10" s="181">
        <f t="shared" si="5"/>
        <v>1165</v>
      </c>
      <c r="S10" s="181">
        <f t="shared" si="5"/>
        <v>1157</v>
      </c>
      <c r="T10" s="181">
        <f t="shared" si="5"/>
        <v>1151</v>
      </c>
      <c r="U10" s="181">
        <f>SUM(U11:U13)</f>
        <v>904</v>
      </c>
      <c r="V10" s="181">
        <f>SUM(V11:V13)</f>
        <v>964</v>
      </c>
      <c r="W10" s="465">
        <f>SUM(W11:W13)</f>
        <v>994</v>
      </c>
      <c r="X10" s="137"/>
    </row>
    <row r="11" spans="1:24" ht="17.25" customHeight="1">
      <c r="A11" s="188" t="s">
        <v>84</v>
      </c>
      <c r="B11" s="181">
        <v>156</v>
      </c>
      <c r="C11" s="181">
        <v>204</v>
      </c>
      <c r="D11" s="181">
        <v>238</v>
      </c>
      <c r="E11" s="181">
        <v>204</v>
      </c>
      <c r="F11" s="181">
        <v>202</v>
      </c>
      <c r="G11" s="181">
        <v>209</v>
      </c>
      <c r="H11" s="181">
        <v>217</v>
      </c>
      <c r="I11" s="181">
        <v>215</v>
      </c>
      <c r="J11" s="181">
        <v>254</v>
      </c>
      <c r="K11" s="181">
        <v>287</v>
      </c>
      <c r="L11" s="181">
        <v>276</v>
      </c>
      <c r="M11" s="181">
        <v>284</v>
      </c>
      <c r="N11" s="181">
        <v>335</v>
      </c>
      <c r="O11" s="181">
        <v>335</v>
      </c>
      <c r="P11" s="170">
        <v>323</v>
      </c>
      <c r="Q11" s="170">
        <v>344</v>
      </c>
      <c r="R11" s="181">
        <v>404</v>
      </c>
      <c r="S11" s="181">
        <v>372</v>
      </c>
      <c r="T11" s="181">
        <v>376</v>
      </c>
      <c r="U11" s="181">
        <v>303</v>
      </c>
      <c r="V11" s="181">
        <v>352</v>
      </c>
      <c r="W11" s="465">
        <v>365</v>
      </c>
      <c r="X11" s="137"/>
    </row>
    <row r="12" spans="1:24" ht="17.25" customHeight="1">
      <c r="A12" s="188" t="s">
        <v>83</v>
      </c>
      <c r="B12" s="181">
        <v>244</v>
      </c>
      <c r="C12" s="181">
        <v>307</v>
      </c>
      <c r="D12" s="181">
        <v>353</v>
      </c>
      <c r="E12" s="181">
        <v>338</v>
      </c>
      <c r="F12" s="181">
        <v>433</v>
      </c>
      <c r="G12" s="181">
        <v>471</v>
      </c>
      <c r="H12" s="181">
        <v>450</v>
      </c>
      <c r="I12" s="181">
        <v>486</v>
      </c>
      <c r="J12" s="181">
        <v>469</v>
      </c>
      <c r="K12" s="181">
        <v>489</v>
      </c>
      <c r="L12" s="181">
        <v>544</v>
      </c>
      <c r="M12" s="181">
        <v>583</v>
      </c>
      <c r="N12" s="181">
        <v>667</v>
      </c>
      <c r="O12" s="181">
        <v>684</v>
      </c>
      <c r="P12" s="170">
        <v>678</v>
      </c>
      <c r="Q12" s="170">
        <v>695</v>
      </c>
      <c r="R12" s="181">
        <v>739</v>
      </c>
      <c r="S12" s="181">
        <v>762</v>
      </c>
      <c r="T12" s="181">
        <v>762</v>
      </c>
      <c r="U12" s="181">
        <v>591</v>
      </c>
      <c r="V12" s="181">
        <v>600</v>
      </c>
      <c r="W12" s="465">
        <v>619</v>
      </c>
      <c r="X12" s="137"/>
    </row>
    <row r="13" spans="1:24" ht="17.25" customHeight="1">
      <c r="A13" s="188" t="s">
        <v>505</v>
      </c>
      <c r="B13" s="210" t="s">
        <v>90</v>
      </c>
      <c r="C13" s="210" t="s">
        <v>90</v>
      </c>
      <c r="D13" s="210" t="s">
        <v>90</v>
      </c>
      <c r="E13" s="210" t="s">
        <v>90</v>
      </c>
      <c r="F13" s="210" t="s">
        <v>90</v>
      </c>
      <c r="G13" s="210" t="s">
        <v>90</v>
      </c>
      <c r="H13" s="210" t="s">
        <v>90</v>
      </c>
      <c r="I13" s="210" t="s">
        <v>90</v>
      </c>
      <c r="J13" s="210" t="s">
        <v>90</v>
      </c>
      <c r="K13" s="210" t="s">
        <v>90</v>
      </c>
      <c r="L13" s="210" t="s">
        <v>90</v>
      </c>
      <c r="M13" s="181">
        <v>17</v>
      </c>
      <c r="N13" s="210" t="s">
        <v>90</v>
      </c>
      <c r="O13" s="181">
        <v>10</v>
      </c>
      <c r="P13" s="170">
        <v>13</v>
      </c>
      <c r="Q13" s="170">
        <v>16</v>
      </c>
      <c r="R13" s="181">
        <v>22</v>
      </c>
      <c r="S13" s="181">
        <v>23</v>
      </c>
      <c r="T13" s="181">
        <v>13</v>
      </c>
      <c r="U13" s="181">
        <v>10</v>
      </c>
      <c r="V13" s="181">
        <v>12</v>
      </c>
      <c r="W13" s="465">
        <v>10</v>
      </c>
      <c r="X13" s="137"/>
    </row>
    <row r="14" spans="1:24" ht="17.25" customHeight="1">
      <c r="A14" s="176" t="s">
        <v>315</v>
      </c>
      <c r="B14" s="177">
        <f aca="true" t="shared" si="6" ref="B14:N14">SUM(B15:B16)</f>
        <v>271</v>
      </c>
      <c r="C14" s="177">
        <f t="shared" si="6"/>
        <v>372.6666666666667</v>
      </c>
      <c r="D14" s="177">
        <f t="shared" si="6"/>
        <v>398.33333333333337</v>
      </c>
      <c r="E14" s="177">
        <f t="shared" si="6"/>
        <v>463</v>
      </c>
      <c r="F14" s="177">
        <f t="shared" si="6"/>
        <v>532.6666666666666</v>
      </c>
      <c r="G14" s="177">
        <f t="shared" si="6"/>
        <v>571.6666666666666</v>
      </c>
      <c r="H14" s="177">
        <f t="shared" si="6"/>
        <v>528</v>
      </c>
      <c r="I14" s="177">
        <f t="shared" si="6"/>
        <v>451</v>
      </c>
      <c r="J14" s="177">
        <f t="shared" si="6"/>
        <v>645</v>
      </c>
      <c r="K14" s="177">
        <f t="shared" si="6"/>
        <v>728</v>
      </c>
      <c r="L14" s="177">
        <f t="shared" si="6"/>
        <v>623</v>
      </c>
      <c r="M14" s="177">
        <f t="shared" si="6"/>
        <v>703</v>
      </c>
      <c r="N14" s="177">
        <f t="shared" si="6"/>
        <v>674</v>
      </c>
      <c r="O14" s="177">
        <f>SUM(O15:O16)</f>
        <v>740</v>
      </c>
      <c r="P14" s="177">
        <f>SUM(P15:P16)</f>
        <v>837</v>
      </c>
      <c r="Q14" s="177">
        <f>SUM(Q15:Q16)</f>
        <v>779</v>
      </c>
      <c r="R14" s="177">
        <f>SUM(R15:R16)</f>
        <v>747</v>
      </c>
      <c r="S14" s="177">
        <f>SUM(S15:S16)</f>
        <v>777</v>
      </c>
      <c r="T14" s="177">
        <f>SUM(T15:T16)</f>
        <v>712</v>
      </c>
      <c r="U14" s="177">
        <f>SUM(U15:U16)</f>
        <v>428</v>
      </c>
      <c r="V14" s="177">
        <f>SUM(V15:V16)</f>
        <v>722</v>
      </c>
      <c r="W14" s="891">
        <f>SUM(W15:W16)</f>
        <v>742</v>
      </c>
      <c r="X14" s="137"/>
    </row>
    <row r="15" spans="1:24" ht="17.25" customHeight="1">
      <c r="A15" s="193" t="s">
        <v>73</v>
      </c>
      <c r="B15" s="181">
        <v>125.66666666666667</v>
      </c>
      <c r="C15" s="181">
        <v>145.33333333333334</v>
      </c>
      <c r="D15" s="181">
        <v>159</v>
      </c>
      <c r="E15" s="181">
        <v>165.66666666666666</v>
      </c>
      <c r="F15" s="181">
        <v>176.66666666666666</v>
      </c>
      <c r="G15" s="181">
        <v>154.66666666666666</v>
      </c>
      <c r="H15" s="181">
        <v>185</v>
      </c>
      <c r="I15" s="181">
        <v>150</v>
      </c>
      <c r="J15" s="181">
        <v>222</v>
      </c>
      <c r="K15" s="181">
        <v>249</v>
      </c>
      <c r="L15" s="181">
        <v>208</v>
      </c>
      <c r="M15" s="181">
        <v>244</v>
      </c>
      <c r="N15" s="181">
        <v>261</v>
      </c>
      <c r="O15" s="181">
        <v>256</v>
      </c>
      <c r="P15" s="170">
        <v>267</v>
      </c>
      <c r="Q15" s="170">
        <v>258</v>
      </c>
      <c r="R15" s="181">
        <v>244</v>
      </c>
      <c r="S15" s="181">
        <v>233</v>
      </c>
      <c r="T15" s="181">
        <v>225</v>
      </c>
      <c r="U15" s="181">
        <v>85</v>
      </c>
      <c r="V15" s="181">
        <v>234</v>
      </c>
      <c r="W15" s="465">
        <v>254</v>
      </c>
      <c r="X15" s="137"/>
    </row>
    <row r="16" spans="1:24" ht="17.25" customHeight="1">
      <c r="A16" s="193" t="s">
        <v>74</v>
      </c>
      <c r="B16" s="181">
        <v>145.33333333333334</v>
      </c>
      <c r="C16" s="181">
        <v>227.33333333333334</v>
      </c>
      <c r="D16" s="181">
        <v>239.33333333333334</v>
      </c>
      <c r="E16" s="181">
        <v>297.3333333333333</v>
      </c>
      <c r="F16" s="181">
        <f>SUM(F17:F19)</f>
        <v>356</v>
      </c>
      <c r="G16" s="181">
        <f>SUM(G17:G19)</f>
        <v>417</v>
      </c>
      <c r="H16" s="181">
        <f aca="true" t="shared" si="7" ref="H16:N16">SUM(H17:H19)</f>
        <v>343</v>
      </c>
      <c r="I16" s="181">
        <f t="shared" si="7"/>
        <v>301</v>
      </c>
      <c r="J16" s="181">
        <f t="shared" si="7"/>
        <v>423</v>
      </c>
      <c r="K16" s="181">
        <f t="shared" si="7"/>
        <v>479</v>
      </c>
      <c r="L16" s="181">
        <f t="shared" si="7"/>
        <v>415</v>
      </c>
      <c r="M16" s="181">
        <f t="shared" si="7"/>
        <v>459</v>
      </c>
      <c r="N16" s="181">
        <f t="shared" si="7"/>
        <v>413</v>
      </c>
      <c r="O16" s="181">
        <f aca="true" t="shared" si="8" ref="O16:T16">SUM(O17:O19)</f>
        <v>484</v>
      </c>
      <c r="P16" s="170">
        <f t="shared" si="8"/>
        <v>570</v>
      </c>
      <c r="Q16" s="170">
        <f t="shared" si="8"/>
        <v>521</v>
      </c>
      <c r="R16" s="181">
        <f t="shared" si="8"/>
        <v>503</v>
      </c>
      <c r="S16" s="181">
        <f t="shared" si="8"/>
        <v>544</v>
      </c>
      <c r="T16" s="181">
        <f t="shared" si="8"/>
        <v>487</v>
      </c>
      <c r="U16" s="181">
        <f>SUM(U17:U19)</f>
        <v>343</v>
      </c>
      <c r="V16" s="181">
        <f>SUM(V17:V19)</f>
        <v>488</v>
      </c>
      <c r="W16" s="465">
        <f>SUM(W17:W19)</f>
        <v>488</v>
      </c>
      <c r="X16" s="137"/>
    </row>
    <row r="17" spans="1:24" ht="17.25" customHeight="1">
      <c r="A17" s="188" t="s">
        <v>84</v>
      </c>
      <c r="B17" s="293" t="s">
        <v>375</v>
      </c>
      <c r="C17" s="293" t="s">
        <v>375</v>
      </c>
      <c r="D17" s="293" t="s">
        <v>375</v>
      </c>
      <c r="E17" s="293" t="s">
        <v>375</v>
      </c>
      <c r="F17" s="181">
        <v>146.33333333333334</v>
      </c>
      <c r="G17" s="181">
        <v>147.33333333333334</v>
      </c>
      <c r="H17" s="181">
        <v>104</v>
      </c>
      <c r="I17" s="181">
        <v>93</v>
      </c>
      <c r="J17" s="181">
        <v>123</v>
      </c>
      <c r="K17" s="181">
        <v>131</v>
      </c>
      <c r="L17" s="181">
        <v>131</v>
      </c>
      <c r="M17" s="181">
        <v>141</v>
      </c>
      <c r="N17" s="181">
        <v>131</v>
      </c>
      <c r="O17" s="181">
        <v>169</v>
      </c>
      <c r="P17" s="170">
        <v>223</v>
      </c>
      <c r="Q17" s="170">
        <v>182</v>
      </c>
      <c r="R17" s="181">
        <v>226</v>
      </c>
      <c r="S17" s="181">
        <v>209</v>
      </c>
      <c r="T17" s="181">
        <v>219</v>
      </c>
      <c r="U17" s="181">
        <v>147</v>
      </c>
      <c r="V17" s="181">
        <v>208</v>
      </c>
      <c r="W17" s="465">
        <v>194</v>
      </c>
      <c r="X17" s="137"/>
    </row>
    <row r="18" spans="1:24" ht="17.25" customHeight="1">
      <c r="A18" s="188" t="s">
        <v>83</v>
      </c>
      <c r="B18" s="293" t="s">
        <v>375</v>
      </c>
      <c r="C18" s="293" t="s">
        <v>375</v>
      </c>
      <c r="D18" s="293" t="s">
        <v>375</v>
      </c>
      <c r="E18" s="293" t="s">
        <v>375</v>
      </c>
      <c r="F18" s="181">
        <v>209.66666666666666</v>
      </c>
      <c r="G18" s="181">
        <v>269.6666666666667</v>
      </c>
      <c r="H18" s="181">
        <v>226</v>
      </c>
      <c r="I18" s="181">
        <v>204</v>
      </c>
      <c r="J18" s="181">
        <v>293</v>
      </c>
      <c r="K18" s="181">
        <v>309</v>
      </c>
      <c r="L18" s="181">
        <v>278</v>
      </c>
      <c r="M18" s="181">
        <v>301</v>
      </c>
      <c r="N18" s="181">
        <v>260</v>
      </c>
      <c r="O18" s="181">
        <v>299</v>
      </c>
      <c r="P18" s="170">
        <v>347</v>
      </c>
      <c r="Q18" s="170">
        <v>339</v>
      </c>
      <c r="R18" s="181">
        <v>277</v>
      </c>
      <c r="S18" s="181">
        <v>335</v>
      </c>
      <c r="T18" s="181">
        <v>268</v>
      </c>
      <c r="U18" s="181">
        <v>196</v>
      </c>
      <c r="V18" s="181">
        <v>280</v>
      </c>
      <c r="W18" s="465">
        <v>279</v>
      </c>
      <c r="X18" s="137"/>
    </row>
    <row r="19" spans="1:24" ht="17.25" customHeight="1">
      <c r="A19" s="188" t="s">
        <v>505</v>
      </c>
      <c r="B19" s="293" t="s">
        <v>375</v>
      </c>
      <c r="C19" s="293" t="s">
        <v>375</v>
      </c>
      <c r="D19" s="293" t="s">
        <v>375</v>
      </c>
      <c r="E19" s="293" t="s">
        <v>375</v>
      </c>
      <c r="F19" s="181">
        <v>0</v>
      </c>
      <c r="G19" s="181">
        <v>0</v>
      </c>
      <c r="H19" s="181">
        <v>13</v>
      </c>
      <c r="I19" s="181">
        <v>4</v>
      </c>
      <c r="J19" s="181">
        <v>7</v>
      </c>
      <c r="K19" s="181">
        <v>39</v>
      </c>
      <c r="L19" s="181">
        <v>6</v>
      </c>
      <c r="M19" s="181">
        <v>17</v>
      </c>
      <c r="N19" s="181">
        <v>22</v>
      </c>
      <c r="O19" s="181">
        <v>16</v>
      </c>
      <c r="P19" s="170">
        <v>0</v>
      </c>
      <c r="Q19" s="170">
        <v>0</v>
      </c>
      <c r="R19" s="181">
        <v>0</v>
      </c>
      <c r="S19" s="181">
        <v>0</v>
      </c>
      <c r="T19" s="181">
        <v>0</v>
      </c>
      <c r="U19" s="181">
        <v>0</v>
      </c>
      <c r="V19" s="181">
        <v>0</v>
      </c>
      <c r="W19" s="465">
        <v>15</v>
      </c>
      <c r="X19" s="137"/>
    </row>
    <row r="20" spans="2:9" ht="12.75">
      <c r="B20" s="12"/>
      <c r="C20" s="12"/>
      <c r="D20" s="12"/>
      <c r="E20" s="12"/>
      <c r="F20" s="12"/>
      <c r="G20" s="12"/>
      <c r="H20" s="12"/>
      <c r="I20" s="12"/>
    </row>
    <row r="21" spans="1:23" s="258" customFormat="1" ht="11.25">
      <c r="A21" s="294" t="s">
        <v>506</v>
      </c>
      <c r="B21" s="259"/>
      <c r="C21" s="259"/>
      <c r="D21" s="259"/>
      <c r="E21" s="259"/>
      <c r="F21" s="259"/>
      <c r="G21" s="259"/>
      <c r="H21" s="259"/>
      <c r="I21" s="259"/>
      <c r="W21" s="970"/>
    </row>
    <row r="22" spans="2:9" ht="12.75">
      <c r="B22" s="12"/>
      <c r="C22" s="12"/>
      <c r="D22" s="12"/>
      <c r="E22" s="12"/>
      <c r="F22" s="12"/>
      <c r="G22" s="12"/>
      <c r="H22" s="12"/>
      <c r="I22" s="12"/>
    </row>
    <row r="23" spans="1:9" ht="12.75">
      <c r="A23" s="13" t="s">
        <v>507</v>
      </c>
      <c r="B23" s="12"/>
      <c r="C23" s="12"/>
      <c r="D23" s="12"/>
      <c r="E23" s="12"/>
      <c r="F23" s="12"/>
      <c r="G23" s="12"/>
      <c r="H23" s="12"/>
      <c r="I23" s="12"/>
    </row>
    <row r="24" spans="1:23" s="345" customFormat="1" ht="12.75">
      <c r="A24" s="1106" t="s">
        <v>780</v>
      </c>
      <c r="B24" s="1106"/>
      <c r="C24" s="1106"/>
      <c r="D24" s="1106"/>
      <c r="E24" s="1106"/>
      <c r="F24" s="1106"/>
      <c r="G24" s="1106"/>
      <c r="H24" s="1106"/>
      <c r="I24" s="1106"/>
      <c r="J24" s="1106"/>
      <c r="K24" s="1106"/>
      <c r="L24" s="1106"/>
      <c r="M24" s="1106"/>
      <c r="N24" s="1106"/>
      <c r="O24" s="1106"/>
      <c r="P24" s="1106"/>
      <c r="Q24" s="1106"/>
      <c r="R24" s="1106"/>
      <c r="S24" s="1106"/>
      <c r="T24" s="1106"/>
      <c r="U24" s="1106"/>
      <c r="V24" s="1106"/>
      <c r="W24" s="1106"/>
    </row>
    <row r="25" spans="1:23" s="345" customFormat="1" ht="12.75">
      <c r="A25" s="1106" t="s">
        <v>821</v>
      </c>
      <c r="B25" s="1106"/>
      <c r="C25" s="1106"/>
      <c r="D25" s="1106"/>
      <c r="E25" s="1106"/>
      <c r="F25" s="1106"/>
      <c r="G25" s="1106"/>
      <c r="H25" s="1106"/>
      <c r="I25" s="1106"/>
      <c r="J25" s="1106"/>
      <c r="K25" s="1106"/>
      <c r="L25" s="1106"/>
      <c r="M25" s="1106"/>
      <c r="N25" s="1106"/>
      <c r="O25" s="1106"/>
      <c r="P25" s="1106"/>
      <c r="Q25" s="1106"/>
      <c r="R25" s="1106"/>
      <c r="S25" s="1106"/>
      <c r="T25" s="1106"/>
      <c r="U25" s="1106"/>
      <c r="V25" s="1106"/>
      <c r="W25" s="1106"/>
    </row>
  </sheetData>
  <sheetProtection/>
  <mergeCells count="5">
    <mergeCell ref="A1:W1"/>
    <mergeCell ref="A3:W3"/>
    <mergeCell ref="A4:W4"/>
    <mergeCell ref="A24:W24"/>
    <mergeCell ref="A25:W25"/>
  </mergeCells>
  <printOptions horizontalCentered="1"/>
  <pageMargins left="0.7900000000000001" right="0.7900000000000001" top="1.18" bottom="0.7900000000000001" header="0" footer="0"/>
  <pageSetup fitToHeight="1" fitToWidth="1" horizontalDpi="600" verticalDpi="600" orientation="landscape" scale="51"/>
  <ignoredErrors>
    <ignoredError sqref="B6:G6" numberStoredAsText="1"/>
  </ignoredErrors>
</worksheet>
</file>

<file path=xl/worksheets/sheet32.xml><?xml version="1.0" encoding="utf-8"?>
<worksheet xmlns="http://schemas.openxmlformats.org/spreadsheetml/2006/main" xmlns:r="http://schemas.openxmlformats.org/officeDocument/2006/relationships">
  <sheetPr>
    <tabColor rgb="FF0070C0"/>
    <pageSetUpPr fitToPage="1"/>
  </sheetPr>
  <dimension ref="A1:X16"/>
  <sheetViews>
    <sheetView zoomScalePageLayoutView="0" workbookViewId="0" topLeftCell="L1">
      <selection activeCell="X8" sqref="X8"/>
    </sheetView>
  </sheetViews>
  <sheetFormatPr defaultColWidth="10.8515625" defaultRowHeight="12.75"/>
  <cols>
    <col min="1" max="1" width="50.7109375" style="5" customWidth="1"/>
    <col min="2" max="13" width="10.8515625" style="5" customWidth="1"/>
    <col min="14" max="23" width="10.8515625" style="298" customWidth="1"/>
    <col min="24" max="16384" width="10.8515625" style="5" customWidth="1"/>
  </cols>
  <sheetData>
    <row r="1" spans="1:24" ht="12.75">
      <c r="A1" s="1190" t="s">
        <v>587</v>
      </c>
      <c r="B1" s="1190"/>
      <c r="C1" s="1190"/>
      <c r="D1" s="1190"/>
      <c r="E1" s="1190"/>
      <c r="F1" s="1190"/>
      <c r="G1" s="1190"/>
      <c r="H1" s="1190"/>
      <c r="I1" s="1190"/>
      <c r="J1" s="1190"/>
      <c r="K1" s="1190"/>
      <c r="L1" s="1190"/>
      <c r="M1" s="1190"/>
      <c r="N1" s="1190"/>
      <c r="O1" s="1190"/>
      <c r="P1" s="1190"/>
      <c r="Q1" s="1190"/>
      <c r="R1" s="1190"/>
      <c r="S1" s="1190"/>
      <c r="T1" s="1190"/>
      <c r="U1" s="1190"/>
      <c r="V1" s="1190"/>
      <c r="W1" s="1190"/>
      <c r="X1" s="1190"/>
    </row>
    <row r="2" spans="1:12" ht="12.75">
      <c r="A2" s="291"/>
      <c r="B2" s="291"/>
      <c r="C2" s="291"/>
      <c r="D2" s="291"/>
      <c r="E2" s="291"/>
      <c r="F2" s="291"/>
      <c r="G2" s="291"/>
      <c r="H2" s="291"/>
      <c r="I2" s="291"/>
      <c r="J2" s="291"/>
      <c r="K2" s="17"/>
      <c r="L2" s="17"/>
    </row>
    <row r="3" spans="1:24" ht="18" customHeight="1">
      <c r="A3" s="1109" t="s">
        <v>321</v>
      </c>
      <c r="B3" s="1109"/>
      <c r="C3" s="1109"/>
      <c r="D3" s="1109"/>
      <c r="E3" s="1109"/>
      <c r="F3" s="1109"/>
      <c r="G3" s="1109"/>
      <c r="H3" s="1109"/>
      <c r="I3" s="1109"/>
      <c r="J3" s="1109"/>
      <c r="K3" s="1109"/>
      <c r="L3" s="1109"/>
      <c r="M3" s="1109"/>
      <c r="N3" s="1109"/>
      <c r="O3" s="1109"/>
      <c r="P3" s="1109"/>
      <c r="Q3" s="1109"/>
      <c r="R3" s="1109"/>
      <c r="S3" s="1109"/>
      <c r="T3" s="1109"/>
      <c r="U3" s="1109"/>
      <c r="V3" s="1109"/>
      <c r="W3" s="1109"/>
      <c r="X3" s="1109"/>
    </row>
    <row r="4" spans="1:24" ht="18" customHeight="1">
      <c r="A4" s="1111" t="s">
        <v>720</v>
      </c>
      <c r="B4" s="1111"/>
      <c r="C4" s="1111"/>
      <c r="D4" s="1111"/>
      <c r="E4" s="1111"/>
      <c r="F4" s="1111"/>
      <c r="G4" s="1111"/>
      <c r="H4" s="1111"/>
      <c r="I4" s="1111"/>
      <c r="J4" s="1111"/>
      <c r="K4" s="1111"/>
      <c r="L4" s="1111"/>
      <c r="M4" s="1111"/>
      <c r="N4" s="1111"/>
      <c r="O4" s="1111"/>
      <c r="P4" s="1111"/>
      <c r="Q4" s="1111"/>
      <c r="R4" s="1111"/>
      <c r="S4" s="1111"/>
      <c r="T4" s="1111"/>
      <c r="U4" s="1111"/>
      <c r="V4" s="1111"/>
      <c r="W4" s="1111"/>
      <c r="X4" s="1111"/>
    </row>
    <row r="5" ht="18" customHeight="1"/>
    <row r="6" spans="2:24" ht="18" customHeight="1">
      <c r="B6" s="290" t="s">
        <v>107</v>
      </c>
      <c r="C6" s="290" t="s">
        <v>108</v>
      </c>
      <c r="D6" s="290" t="s">
        <v>109</v>
      </c>
      <c r="E6" s="290" t="s">
        <v>110</v>
      </c>
      <c r="F6" s="290" t="s">
        <v>111</v>
      </c>
      <c r="G6" s="290" t="s">
        <v>112</v>
      </c>
      <c r="H6" s="290" t="s">
        <v>126</v>
      </c>
      <c r="I6" s="381">
        <v>2007</v>
      </c>
      <c r="J6" s="290">
        <v>2008</v>
      </c>
      <c r="K6" s="290">
        <v>2009</v>
      </c>
      <c r="L6" s="290">
        <v>2010</v>
      </c>
      <c r="M6" s="290">
        <v>2011</v>
      </c>
      <c r="N6" s="290">
        <v>2012</v>
      </c>
      <c r="O6" s="290">
        <v>2013</v>
      </c>
      <c r="P6" s="290">
        <v>2014</v>
      </c>
      <c r="Q6" s="290">
        <v>2015</v>
      </c>
      <c r="R6" s="290">
        <v>2016</v>
      </c>
      <c r="S6" s="463">
        <v>2017</v>
      </c>
      <c r="T6" s="463">
        <v>2018</v>
      </c>
      <c r="U6" s="463">
        <v>2019</v>
      </c>
      <c r="V6" s="463">
        <v>2020</v>
      </c>
      <c r="W6" s="463">
        <v>2021</v>
      </c>
      <c r="X6" s="463" t="s">
        <v>765</v>
      </c>
    </row>
    <row r="7" spans="1:24" s="11" customFormat="1" ht="18" customHeight="1">
      <c r="A7" s="183" t="s">
        <v>322</v>
      </c>
      <c r="B7" s="192">
        <v>5657</v>
      </c>
      <c r="C7" s="192">
        <v>6311</v>
      </c>
      <c r="D7" s="192">
        <v>6354</v>
      </c>
      <c r="E7" s="192">
        <v>7091</v>
      </c>
      <c r="F7" s="192">
        <v>7708</v>
      </c>
      <c r="G7" s="192">
        <v>9573</v>
      </c>
      <c r="H7" s="192">
        <v>10422</v>
      </c>
      <c r="I7" s="382">
        <v>12141</v>
      </c>
      <c r="J7" s="192">
        <v>13077</v>
      </c>
      <c r="K7" s="192">
        <v>13263</v>
      </c>
      <c r="L7" s="192">
        <v>14041</v>
      </c>
      <c r="M7" s="192">
        <v>14643</v>
      </c>
      <c r="N7" s="192">
        <v>15712</v>
      </c>
      <c r="O7" s="192">
        <v>17077</v>
      </c>
      <c r="P7" s="192">
        <v>17932</v>
      </c>
      <c r="Q7" s="192">
        <v>22634</v>
      </c>
      <c r="R7" s="192">
        <v>24375</v>
      </c>
      <c r="S7" s="482">
        <v>26035</v>
      </c>
      <c r="T7" s="482">
        <v>27584</v>
      </c>
      <c r="U7" s="482">
        <v>29127</v>
      </c>
      <c r="V7" s="482">
        <v>30227</v>
      </c>
      <c r="W7" s="482">
        <v>31027</v>
      </c>
      <c r="X7" s="482">
        <v>26103</v>
      </c>
    </row>
    <row r="8" spans="1:24" ht="18" customHeight="1">
      <c r="A8" s="174" t="s">
        <v>323</v>
      </c>
      <c r="B8" s="181">
        <v>2063</v>
      </c>
      <c r="C8" s="181">
        <v>2358</v>
      </c>
      <c r="D8" s="181">
        <v>2258</v>
      </c>
      <c r="E8" s="181">
        <v>2429</v>
      </c>
      <c r="F8" s="181">
        <v>2622</v>
      </c>
      <c r="G8" s="170">
        <v>3029</v>
      </c>
      <c r="H8" s="170">
        <v>3225</v>
      </c>
      <c r="I8" s="383">
        <v>3680</v>
      </c>
      <c r="J8" s="181">
        <v>3954</v>
      </c>
      <c r="K8" s="181">
        <v>3786</v>
      </c>
      <c r="L8" s="181">
        <v>4062</v>
      </c>
      <c r="M8" s="181">
        <v>4249</v>
      </c>
      <c r="N8" s="181">
        <v>4399</v>
      </c>
      <c r="O8" s="181">
        <v>4590</v>
      </c>
      <c r="P8" s="181">
        <v>4897</v>
      </c>
      <c r="Q8" s="181">
        <v>5774</v>
      </c>
      <c r="R8" s="181">
        <v>6257</v>
      </c>
      <c r="S8" s="465">
        <v>6596</v>
      </c>
      <c r="T8" s="465">
        <v>6767</v>
      </c>
      <c r="U8" s="465">
        <v>7270</v>
      </c>
      <c r="V8" s="465">
        <v>7546</v>
      </c>
      <c r="W8" s="465">
        <v>7868</v>
      </c>
      <c r="X8" s="465">
        <v>6376</v>
      </c>
    </row>
    <row r="9" spans="1:24" ht="18" customHeight="1">
      <c r="A9" s="174" t="s">
        <v>324</v>
      </c>
      <c r="B9" s="209">
        <f aca="true" t="shared" si="0" ref="B9:X9">B8/B7</f>
        <v>0.36468092628601734</v>
      </c>
      <c r="C9" s="209">
        <f t="shared" si="0"/>
        <v>0.37363333861511644</v>
      </c>
      <c r="D9" s="209">
        <f t="shared" si="0"/>
        <v>0.3553666981429021</v>
      </c>
      <c r="E9" s="209">
        <f t="shared" si="0"/>
        <v>0.3425468904244817</v>
      </c>
      <c r="F9" s="209">
        <f t="shared" si="0"/>
        <v>0.3401660612350804</v>
      </c>
      <c r="G9" s="286">
        <f t="shared" si="0"/>
        <v>0.3164107385354643</v>
      </c>
      <c r="H9" s="286">
        <f t="shared" si="0"/>
        <v>0.30944156591824984</v>
      </c>
      <c r="I9" s="384">
        <f t="shared" si="0"/>
        <v>0.3031051807923565</v>
      </c>
      <c r="J9" s="209">
        <f t="shared" si="0"/>
        <v>0.3023629272768984</v>
      </c>
      <c r="K9" s="209">
        <f t="shared" si="0"/>
        <v>0.2854557792354671</v>
      </c>
      <c r="L9" s="209">
        <f t="shared" si="0"/>
        <v>0.2892956342140873</v>
      </c>
      <c r="M9" s="209">
        <f t="shared" si="0"/>
        <v>0.290172778802158</v>
      </c>
      <c r="N9" s="209">
        <f t="shared" si="0"/>
        <v>0.27997708757637474</v>
      </c>
      <c r="O9" s="209">
        <f t="shared" si="0"/>
        <v>0.26878257305147274</v>
      </c>
      <c r="P9" s="209">
        <f t="shared" si="0"/>
        <v>0.2730872183805487</v>
      </c>
      <c r="Q9" s="209">
        <f t="shared" si="0"/>
        <v>0.2551029424759212</v>
      </c>
      <c r="R9" s="209">
        <f>R8/R7</f>
        <v>0.2566974358974359</v>
      </c>
      <c r="S9" s="494">
        <f>S8/S7</f>
        <v>0.25335125792202806</v>
      </c>
      <c r="T9" s="494">
        <f>T8/T7</f>
        <v>0.2453233758700696</v>
      </c>
      <c r="U9" s="494">
        <f>U8/U7</f>
        <v>0.24959659422528924</v>
      </c>
      <c r="V9" s="494">
        <f>V8/V7</f>
        <v>0.24964435769345286</v>
      </c>
      <c r="W9" s="494">
        <f t="shared" si="0"/>
        <v>0.2535855867470268</v>
      </c>
      <c r="X9" s="494">
        <f t="shared" si="0"/>
        <v>0.2442631115197487</v>
      </c>
    </row>
    <row r="10" spans="2:21" ht="12.75">
      <c r="B10" s="12"/>
      <c r="C10" s="12"/>
      <c r="D10" s="12"/>
      <c r="E10" s="12"/>
      <c r="F10" s="12"/>
      <c r="G10" s="312"/>
      <c r="H10" s="312"/>
      <c r="I10" s="312"/>
      <c r="J10" s="312"/>
      <c r="K10" s="313"/>
      <c r="L10" s="313"/>
      <c r="M10" s="313"/>
      <c r="N10" s="313"/>
      <c r="O10" s="313"/>
      <c r="P10" s="313"/>
      <c r="Q10" s="313"/>
      <c r="R10" s="313"/>
      <c r="S10" s="313"/>
      <c r="T10" s="313"/>
      <c r="U10" s="313"/>
    </row>
    <row r="11" spans="1:10" s="473" customFormat="1" ht="12.75">
      <c r="A11" s="474" t="s">
        <v>757</v>
      </c>
      <c r="B11" s="484"/>
      <c r="C11" s="484"/>
      <c r="D11" s="484"/>
      <c r="E11" s="484"/>
      <c r="F11" s="484"/>
      <c r="G11" s="484"/>
      <c r="H11" s="484"/>
      <c r="I11" s="484"/>
      <c r="J11" s="484"/>
    </row>
    <row r="12" spans="2:23" s="473" customFormat="1" ht="12.75">
      <c r="B12" s="464"/>
      <c r="C12" s="464"/>
      <c r="D12" s="464"/>
      <c r="E12" s="464"/>
      <c r="F12" s="464"/>
      <c r="G12" s="464"/>
      <c r="H12" s="464"/>
      <c r="I12" s="464"/>
      <c r="J12" s="464"/>
      <c r="V12" s="298"/>
      <c r="W12" s="298"/>
    </row>
    <row r="13" spans="1:23" s="473" customFormat="1" ht="12.75">
      <c r="A13" s="13" t="s">
        <v>834</v>
      </c>
      <c r="B13" s="464"/>
      <c r="C13" s="464"/>
      <c r="D13" s="464"/>
      <c r="E13" s="464"/>
      <c r="F13" s="464"/>
      <c r="G13" s="464"/>
      <c r="H13" s="464"/>
      <c r="I13" s="464"/>
      <c r="J13" s="464"/>
      <c r="V13" s="298"/>
      <c r="W13" s="298"/>
    </row>
    <row r="14" spans="1:23" s="473" customFormat="1" ht="12.75">
      <c r="A14" s="13" t="s">
        <v>835</v>
      </c>
      <c r="B14" s="464"/>
      <c r="C14" s="464"/>
      <c r="D14" s="464"/>
      <c r="E14" s="464"/>
      <c r="F14" s="464"/>
      <c r="G14" s="464"/>
      <c r="H14" s="464"/>
      <c r="I14" s="464"/>
      <c r="J14" s="464"/>
      <c r="V14" s="298"/>
      <c r="W14" s="298"/>
    </row>
    <row r="15" spans="1:24" ht="12.75">
      <c r="A15" s="1106" t="s">
        <v>836</v>
      </c>
      <c r="B15" s="1106"/>
      <c r="C15" s="1106"/>
      <c r="D15" s="1106"/>
      <c r="E15" s="1106"/>
      <c r="F15" s="1106"/>
      <c r="G15" s="1106"/>
      <c r="H15" s="1106"/>
      <c r="I15" s="1106"/>
      <c r="J15" s="1106"/>
      <c r="K15" s="1106"/>
      <c r="L15" s="1106"/>
      <c r="M15" s="1106"/>
      <c r="N15" s="1106"/>
      <c r="O15" s="1106"/>
      <c r="P15" s="1106"/>
      <c r="Q15" s="1106"/>
      <c r="R15" s="1106"/>
      <c r="S15" s="1106"/>
      <c r="T15" s="1106"/>
      <c r="U15" s="1106"/>
      <c r="V15" s="1106"/>
      <c r="W15" s="1106"/>
      <c r="X15" s="1106"/>
    </row>
    <row r="16" spans="1:24" ht="12.75">
      <c r="A16" s="1106" t="s">
        <v>837</v>
      </c>
      <c r="B16" s="1106"/>
      <c r="C16" s="1106"/>
      <c r="D16" s="1106"/>
      <c r="E16" s="1106"/>
      <c r="F16" s="1106"/>
      <c r="G16" s="1106"/>
      <c r="H16" s="1106"/>
      <c r="I16" s="1106"/>
      <c r="J16" s="1106"/>
      <c r="K16" s="1106"/>
      <c r="L16" s="1106"/>
      <c r="M16" s="1106"/>
      <c r="N16" s="1106"/>
      <c r="O16" s="1106"/>
      <c r="P16" s="1106"/>
      <c r="Q16" s="1106"/>
      <c r="R16" s="1106"/>
      <c r="S16" s="1106"/>
      <c r="T16" s="1106"/>
      <c r="U16" s="1106"/>
      <c r="V16" s="1106"/>
      <c r="W16" s="1106"/>
      <c r="X16" s="1106"/>
    </row>
  </sheetData>
  <sheetProtection/>
  <mergeCells count="5">
    <mergeCell ref="A1:X1"/>
    <mergeCell ref="A3:X3"/>
    <mergeCell ref="A4:X4"/>
    <mergeCell ref="A15:X15"/>
    <mergeCell ref="A16:X16"/>
  </mergeCells>
  <printOptions horizontalCentered="1"/>
  <pageMargins left="0.7900000000000001" right="0.7900000000000001" top="1.18" bottom="0.7900000000000001" header="0" footer="0"/>
  <pageSetup fitToHeight="1" fitToWidth="1" horizontalDpi="600" verticalDpi="600" orientation="landscape" scale="44"/>
  <ignoredErrors>
    <ignoredError sqref="B6:H6" numberStoredAsText="1"/>
  </ignoredErrors>
</worksheet>
</file>

<file path=xl/worksheets/sheet33.xml><?xml version="1.0" encoding="utf-8"?>
<worksheet xmlns="http://schemas.openxmlformats.org/spreadsheetml/2006/main" xmlns:r="http://schemas.openxmlformats.org/officeDocument/2006/relationships">
  <sheetPr>
    <tabColor theme="9" tint="-0.24997000396251678"/>
    <pageSetUpPr fitToPage="1"/>
  </sheetPr>
  <dimension ref="A1:Y26"/>
  <sheetViews>
    <sheetView zoomScalePageLayoutView="0" workbookViewId="0" topLeftCell="A1">
      <pane xSplit="1" ySplit="7" topLeftCell="X8" activePane="bottomRight" state="frozen"/>
      <selection pane="topLeft" activeCell="A1" sqref="A1"/>
      <selection pane="topRight" activeCell="B1" sqref="B1"/>
      <selection pane="bottomLeft" activeCell="A8" sqref="A8"/>
      <selection pane="bottomRight" activeCell="AA22" sqref="AA22"/>
    </sheetView>
  </sheetViews>
  <sheetFormatPr defaultColWidth="11.421875" defaultRowHeight="12.75"/>
  <cols>
    <col min="1" max="1" width="39.7109375" style="0" customWidth="1"/>
    <col min="2" max="8" width="11.421875" style="0" customWidth="1"/>
    <col min="9" max="11" width="10.8515625" style="2" customWidth="1"/>
    <col min="12" max="18" width="11.00390625" style="0" customWidth="1"/>
    <col min="19" max="19" width="11.00390625" style="386" customWidth="1"/>
    <col min="20" max="24" width="11.00390625" style="2" customWidth="1"/>
    <col min="25" max="25" width="11.00390625" style="461" customWidth="1"/>
  </cols>
  <sheetData>
    <row r="1" spans="1:25" ht="12.75">
      <c r="A1" s="1175" t="s">
        <v>588</v>
      </c>
      <c r="B1" s="1176"/>
      <c r="C1" s="1176"/>
      <c r="D1" s="1176"/>
      <c r="E1" s="1176"/>
      <c r="F1" s="1176"/>
      <c r="G1" s="1176"/>
      <c r="H1" s="1176"/>
      <c r="I1" s="1176"/>
      <c r="J1" s="1176"/>
      <c r="K1" s="1176"/>
      <c r="L1" s="1176"/>
      <c r="M1" s="1176"/>
      <c r="N1" s="1176"/>
      <c r="O1" s="1176"/>
      <c r="P1" s="1176"/>
      <c r="Q1" s="1176"/>
      <c r="R1" s="1176"/>
      <c r="S1" s="1176"/>
      <c r="T1" s="1176"/>
      <c r="U1" s="1176"/>
      <c r="V1" s="1176"/>
      <c r="W1" s="1176"/>
      <c r="X1" s="1176"/>
      <c r="Y1" s="1176"/>
    </row>
    <row r="3" spans="1:25" ht="18" customHeight="1">
      <c r="A3" s="1109" t="s">
        <v>21</v>
      </c>
      <c r="B3" s="1109"/>
      <c r="C3" s="1109"/>
      <c r="D3" s="1109"/>
      <c r="E3" s="1109"/>
      <c r="F3" s="1109"/>
      <c r="G3" s="1109"/>
      <c r="H3" s="1109"/>
      <c r="I3" s="1109"/>
      <c r="J3" s="1109"/>
      <c r="K3" s="1109"/>
      <c r="L3" s="1109"/>
      <c r="M3" s="1109"/>
      <c r="N3" s="1109"/>
      <c r="O3" s="1109"/>
      <c r="P3" s="1109"/>
      <c r="Q3" s="1109"/>
      <c r="R3" s="1109"/>
      <c r="S3" s="1109"/>
      <c r="T3" s="1109"/>
      <c r="U3" s="1109"/>
      <c r="V3" s="1109"/>
      <c r="W3" s="1109"/>
      <c r="X3" s="1109"/>
      <c r="Y3" s="1114"/>
    </row>
    <row r="4" spans="1:25" ht="18" customHeight="1">
      <c r="A4" s="1111" t="s">
        <v>778</v>
      </c>
      <c r="B4" s="1111"/>
      <c r="C4" s="1111"/>
      <c r="D4" s="1111"/>
      <c r="E4" s="1111"/>
      <c r="F4" s="1111"/>
      <c r="G4" s="1111"/>
      <c r="H4" s="1111"/>
      <c r="I4" s="1111"/>
      <c r="J4" s="1111"/>
      <c r="K4" s="1111"/>
      <c r="L4" s="1111"/>
      <c r="M4" s="1111"/>
      <c r="N4" s="1111"/>
      <c r="O4" s="1111"/>
      <c r="P4" s="1111"/>
      <c r="Q4" s="1111"/>
      <c r="R4" s="1111"/>
      <c r="S4" s="1111"/>
      <c r="T4" s="1111"/>
      <c r="U4" s="1111"/>
      <c r="V4" s="1111"/>
      <c r="W4" s="1111"/>
      <c r="X4" s="1111"/>
      <c r="Y4" s="1107"/>
    </row>
    <row r="5" spans="1:11" ht="18" customHeight="1">
      <c r="A5" s="17"/>
      <c r="B5" s="17"/>
      <c r="C5" s="17"/>
      <c r="D5" s="17"/>
      <c r="E5" s="17"/>
      <c r="F5" s="17"/>
      <c r="G5" s="17"/>
      <c r="H5" s="17"/>
      <c r="I5" s="5"/>
      <c r="J5" s="5"/>
      <c r="K5" s="5"/>
    </row>
    <row r="6" spans="1:25" ht="18" customHeight="1">
      <c r="A6" s="19"/>
      <c r="B6" s="290">
        <v>2000</v>
      </c>
      <c r="C6" s="290">
        <v>2001</v>
      </c>
      <c r="D6" s="290">
        <v>2002</v>
      </c>
      <c r="E6" s="290">
        <v>2003</v>
      </c>
      <c r="F6" s="290">
        <v>2004</v>
      </c>
      <c r="G6" s="290">
        <v>2005</v>
      </c>
      <c r="H6" s="290">
        <v>2006</v>
      </c>
      <c r="I6" s="290">
        <v>2007</v>
      </c>
      <c r="J6" s="290">
        <v>2008</v>
      </c>
      <c r="K6" s="290">
        <v>2009</v>
      </c>
      <c r="L6" s="290">
        <v>2010</v>
      </c>
      <c r="M6" s="290">
        <v>2011</v>
      </c>
      <c r="N6" s="290">
        <v>2012</v>
      </c>
      <c r="O6" s="290">
        <v>2013</v>
      </c>
      <c r="P6" s="290">
        <v>2014</v>
      </c>
      <c r="Q6" s="290">
        <v>2015</v>
      </c>
      <c r="R6" s="290">
        <v>2016</v>
      </c>
      <c r="S6" s="381">
        <v>2017</v>
      </c>
      <c r="T6" s="290">
        <v>2018</v>
      </c>
      <c r="U6" s="290">
        <v>2019</v>
      </c>
      <c r="V6" s="290" t="s">
        <v>725</v>
      </c>
      <c r="W6" s="290" t="s">
        <v>782</v>
      </c>
      <c r="X6" s="290" t="s">
        <v>878</v>
      </c>
      <c r="Y6" s="463" t="s">
        <v>879</v>
      </c>
    </row>
    <row r="7" spans="1:25" s="37" customFormat="1" ht="18" customHeight="1">
      <c r="A7" s="176" t="s">
        <v>325</v>
      </c>
      <c r="B7" s="192">
        <f>SUM(B8:B17)</f>
        <v>9536</v>
      </c>
      <c r="C7" s="192">
        <f>SUM(C8:C17)</f>
        <v>10416</v>
      </c>
      <c r="D7" s="192">
        <f>SUM(D8:D17)</f>
        <v>11506</v>
      </c>
      <c r="E7" s="192">
        <f>SUM(E8:E17)</f>
        <v>9384</v>
      </c>
      <c r="F7" s="192">
        <f>SUM(F8:F17)</f>
        <v>8764</v>
      </c>
      <c r="G7" s="192">
        <f>SUM(G8:G17)</f>
        <v>7791</v>
      </c>
      <c r="H7" s="192">
        <f>SUM(H8:H17)</f>
        <v>8345</v>
      </c>
      <c r="I7" s="192">
        <f>SUM(I8:I17)</f>
        <v>7301</v>
      </c>
      <c r="J7" s="192">
        <f>SUM(J8:J17)</f>
        <v>7766</v>
      </c>
      <c r="K7" s="192">
        <f>SUM(K8:K17)</f>
        <v>8590</v>
      </c>
      <c r="L7" s="192">
        <f>SUM(L8:L17)</f>
        <v>8746</v>
      </c>
      <c r="M7" s="192">
        <f aca="true" t="shared" si="0" ref="M7:X7">SUM(M8:M17)</f>
        <v>8243</v>
      </c>
      <c r="N7" s="192">
        <f t="shared" si="0"/>
        <v>10349</v>
      </c>
      <c r="O7" s="192">
        <f t="shared" si="0"/>
        <v>11796</v>
      </c>
      <c r="P7" s="192">
        <f t="shared" si="0"/>
        <v>13758</v>
      </c>
      <c r="Q7" s="192">
        <f t="shared" si="0"/>
        <v>13565</v>
      </c>
      <c r="R7" s="192">
        <f t="shared" si="0"/>
        <v>14014</v>
      </c>
      <c r="S7" s="382">
        <f t="shared" si="0"/>
        <v>13278</v>
      </c>
      <c r="T7" s="192">
        <f t="shared" si="0"/>
        <v>13876</v>
      </c>
      <c r="U7" s="192">
        <f t="shared" si="0"/>
        <v>14480</v>
      </c>
      <c r="V7" s="192">
        <f t="shared" si="0"/>
        <v>8287</v>
      </c>
      <c r="W7" s="192">
        <f t="shared" si="0"/>
        <v>6706</v>
      </c>
      <c r="X7" s="192">
        <f t="shared" si="0"/>
        <v>10355</v>
      </c>
      <c r="Y7" s="482">
        <f>SUM(Y8:Y17)</f>
        <v>12376</v>
      </c>
    </row>
    <row r="8" spans="1:25" s="31" customFormat="1" ht="18" customHeight="1">
      <c r="A8" s="193" t="s">
        <v>326</v>
      </c>
      <c r="B8" s="181">
        <v>706</v>
      </c>
      <c r="C8" s="181">
        <v>944</v>
      </c>
      <c r="D8" s="181">
        <v>594</v>
      </c>
      <c r="E8" s="181">
        <v>598</v>
      </c>
      <c r="F8" s="181">
        <v>519</v>
      </c>
      <c r="G8" s="181">
        <v>453</v>
      </c>
      <c r="H8" s="181">
        <v>417</v>
      </c>
      <c r="I8" s="181">
        <v>416</v>
      </c>
      <c r="J8" s="181">
        <v>438</v>
      </c>
      <c r="K8" s="181">
        <v>448</v>
      </c>
      <c r="L8" s="181">
        <v>552</v>
      </c>
      <c r="M8" s="181">
        <v>513</v>
      </c>
      <c r="N8" s="181">
        <v>680</v>
      </c>
      <c r="O8" s="181">
        <v>701</v>
      </c>
      <c r="P8" s="181">
        <v>707</v>
      </c>
      <c r="Q8" s="170">
        <v>678</v>
      </c>
      <c r="R8" s="170">
        <v>775</v>
      </c>
      <c r="S8" s="383">
        <v>681</v>
      </c>
      <c r="T8" s="181">
        <v>677</v>
      </c>
      <c r="U8" s="181">
        <v>690</v>
      </c>
      <c r="V8" s="181">
        <v>387</v>
      </c>
      <c r="W8" s="181">
        <v>203</v>
      </c>
      <c r="X8" s="181">
        <v>390</v>
      </c>
      <c r="Y8" s="465">
        <v>463</v>
      </c>
    </row>
    <row r="9" spans="1:25" s="31" customFormat="1" ht="18" customHeight="1">
      <c r="A9" s="193" t="s">
        <v>327</v>
      </c>
      <c r="B9" s="181">
        <v>946</v>
      </c>
      <c r="C9" s="181">
        <v>1154</v>
      </c>
      <c r="D9" s="181">
        <v>1045</v>
      </c>
      <c r="E9" s="181">
        <v>1074</v>
      </c>
      <c r="F9" s="181">
        <v>955</v>
      </c>
      <c r="G9" s="181">
        <v>974</v>
      </c>
      <c r="H9" s="181">
        <v>854</v>
      </c>
      <c r="I9" s="181">
        <v>797</v>
      </c>
      <c r="J9" s="181">
        <v>841</v>
      </c>
      <c r="K9" s="181">
        <v>1100</v>
      </c>
      <c r="L9" s="181">
        <v>910</v>
      </c>
      <c r="M9" s="181">
        <v>943</v>
      </c>
      <c r="N9" s="181">
        <v>1053</v>
      </c>
      <c r="O9" s="181">
        <v>1057</v>
      </c>
      <c r="P9" s="181">
        <v>1196</v>
      </c>
      <c r="Q9" s="170">
        <v>1175</v>
      </c>
      <c r="R9" s="170">
        <v>1155</v>
      </c>
      <c r="S9" s="383">
        <v>1035</v>
      </c>
      <c r="T9" s="181">
        <v>997</v>
      </c>
      <c r="U9" s="181">
        <v>1031</v>
      </c>
      <c r="V9" s="181">
        <v>433</v>
      </c>
      <c r="W9" s="181">
        <v>353</v>
      </c>
      <c r="X9" s="181">
        <v>889</v>
      </c>
      <c r="Y9" s="465">
        <v>872</v>
      </c>
    </row>
    <row r="10" spans="1:25" s="31" customFormat="1" ht="18" customHeight="1">
      <c r="A10" s="193" t="s">
        <v>328</v>
      </c>
      <c r="B10" s="181">
        <v>482</v>
      </c>
      <c r="C10" s="181">
        <v>555</v>
      </c>
      <c r="D10" s="181">
        <v>530</v>
      </c>
      <c r="E10" s="181">
        <v>507</v>
      </c>
      <c r="F10" s="181">
        <v>481</v>
      </c>
      <c r="G10" s="181">
        <v>445</v>
      </c>
      <c r="H10" s="181">
        <v>285</v>
      </c>
      <c r="I10" s="181">
        <v>234</v>
      </c>
      <c r="J10" s="181">
        <v>200</v>
      </c>
      <c r="K10" s="181">
        <v>251</v>
      </c>
      <c r="L10" s="181">
        <v>371</v>
      </c>
      <c r="M10" s="181">
        <v>311</v>
      </c>
      <c r="N10" s="181">
        <v>395</v>
      </c>
      <c r="O10" s="181">
        <v>356</v>
      </c>
      <c r="P10" s="181">
        <v>337</v>
      </c>
      <c r="Q10" s="170">
        <v>377</v>
      </c>
      <c r="R10" s="170">
        <v>310</v>
      </c>
      <c r="S10" s="383">
        <v>333</v>
      </c>
      <c r="T10" s="181">
        <v>454</v>
      </c>
      <c r="U10" s="181">
        <v>373</v>
      </c>
      <c r="V10" s="181">
        <v>266</v>
      </c>
      <c r="W10" s="181">
        <v>118</v>
      </c>
      <c r="X10" s="181">
        <v>280</v>
      </c>
      <c r="Y10" s="465">
        <v>342</v>
      </c>
    </row>
    <row r="11" spans="1:25" s="31" customFormat="1" ht="18" customHeight="1">
      <c r="A11" s="193" t="s">
        <v>329</v>
      </c>
      <c r="B11" s="181">
        <v>5227</v>
      </c>
      <c r="C11" s="181">
        <v>4462</v>
      </c>
      <c r="D11" s="181">
        <v>5915</v>
      </c>
      <c r="E11" s="181">
        <v>3367</v>
      </c>
      <c r="F11" s="181">
        <v>3888</v>
      </c>
      <c r="G11" s="181">
        <v>3056</v>
      </c>
      <c r="H11" s="181">
        <v>3666</v>
      </c>
      <c r="I11" s="181">
        <v>3134</v>
      </c>
      <c r="J11" s="181">
        <v>3507</v>
      </c>
      <c r="K11" s="181">
        <v>3196</v>
      </c>
      <c r="L11" s="181">
        <v>2940</v>
      </c>
      <c r="M11" s="181">
        <v>1519</v>
      </c>
      <c r="N11" s="181">
        <v>3495</v>
      </c>
      <c r="O11" s="181">
        <v>3663</v>
      </c>
      <c r="P11" s="181">
        <v>4566</v>
      </c>
      <c r="Q11" s="170">
        <v>4038</v>
      </c>
      <c r="R11" s="170">
        <v>3919</v>
      </c>
      <c r="S11" s="383">
        <v>3916</v>
      </c>
      <c r="T11" s="181">
        <v>3719</v>
      </c>
      <c r="U11" s="181">
        <v>3362</v>
      </c>
      <c r="V11" s="181">
        <v>1487</v>
      </c>
      <c r="W11" s="181">
        <v>1473</v>
      </c>
      <c r="X11" s="181">
        <v>2324</v>
      </c>
      <c r="Y11" s="465">
        <v>1812</v>
      </c>
    </row>
    <row r="12" spans="1:25" s="31" customFormat="1" ht="18" customHeight="1">
      <c r="A12" s="193" t="s">
        <v>330</v>
      </c>
      <c r="B12" s="181">
        <v>175</v>
      </c>
      <c r="C12" s="181">
        <v>138</v>
      </c>
      <c r="D12" s="181">
        <v>144</v>
      </c>
      <c r="E12" s="181">
        <v>145</v>
      </c>
      <c r="F12" s="181">
        <v>80</v>
      </c>
      <c r="G12" s="181">
        <v>94</v>
      </c>
      <c r="H12" s="181">
        <v>86</v>
      </c>
      <c r="I12" s="181">
        <v>102</v>
      </c>
      <c r="J12" s="181">
        <v>86</v>
      </c>
      <c r="K12" s="181">
        <v>108</v>
      </c>
      <c r="L12" s="181">
        <v>101</v>
      </c>
      <c r="M12" s="181">
        <v>119</v>
      </c>
      <c r="N12" s="181">
        <v>106</v>
      </c>
      <c r="O12" s="181">
        <v>107</v>
      </c>
      <c r="P12" s="181">
        <v>107</v>
      </c>
      <c r="Q12" s="170">
        <v>113</v>
      </c>
      <c r="R12" s="170">
        <v>97</v>
      </c>
      <c r="S12" s="383">
        <v>98</v>
      </c>
      <c r="T12" s="181">
        <v>112</v>
      </c>
      <c r="U12" s="181">
        <v>63</v>
      </c>
      <c r="V12" s="181">
        <v>71</v>
      </c>
      <c r="W12" s="181">
        <v>67</v>
      </c>
      <c r="X12" s="181">
        <v>68</v>
      </c>
      <c r="Y12" s="465">
        <v>78</v>
      </c>
    </row>
    <row r="13" spans="1:25" s="31" customFormat="1" ht="18" customHeight="1">
      <c r="A13" s="174" t="s">
        <v>710</v>
      </c>
      <c r="B13" s="181">
        <v>332</v>
      </c>
      <c r="C13" s="181">
        <v>259</v>
      </c>
      <c r="D13" s="181">
        <v>189</v>
      </c>
      <c r="E13" s="181">
        <v>134</v>
      </c>
      <c r="F13" s="181">
        <v>154</v>
      </c>
      <c r="G13" s="181">
        <v>106</v>
      </c>
      <c r="H13" s="181">
        <v>104</v>
      </c>
      <c r="I13" s="181">
        <v>96</v>
      </c>
      <c r="J13" s="181">
        <v>112</v>
      </c>
      <c r="K13" s="181">
        <v>174</v>
      </c>
      <c r="L13" s="181">
        <v>282</v>
      </c>
      <c r="M13" s="181">
        <v>237</v>
      </c>
      <c r="N13" s="181">
        <v>307</v>
      </c>
      <c r="O13" s="181">
        <v>494</v>
      </c>
      <c r="P13" s="181">
        <v>479</v>
      </c>
      <c r="Q13" s="170">
        <v>503</v>
      </c>
      <c r="R13" s="170">
        <v>745</v>
      </c>
      <c r="S13" s="383">
        <v>967</v>
      </c>
      <c r="T13" s="181">
        <v>982</v>
      </c>
      <c r="U13" s="181">
        <v>1662</v>
      </c>
      <c r="V13" s="181">
        <v>1565</v>
      </c>
      <c r="W13" s="181">
        <v>1422</v>
      </c>
      <c r="X13" s="181">
        <v>1937</v>
      </c>
      <c r="Y13" s="465">
        <v>2116</v>
      </c>
    </row>
    <row r="14" spans="1:25" s="31" customFormat="1" ht="18" customHeight="1">
      <c r="A14" s="193" t="s">
        <v>331</v>
      </c>
      <c r="B14" s="181">
        <v>342</v>
      </c>
      <c r="C14" s="181">
        <v>465</v>
      </c>
      <c r="D14" s="181">
        <v>512</v>
      </c>
      <c r="E14" s="181">
        <v>534</v>
      </c>
      <c r="F14" s="181">
        <v>611</v>
      </c>
      <c r="G14" s="181">
        <v>660</v>
      </c>
      <c r="H14" s="181">
        <v>545</v>
      </c>
      <c r="I14" s="181">
        <v>537</v>
      </c>
      <c r="J14" s="181">
        <v>565</v>
      </c>
      <c r="K14" s="181">
        <v>652</v>
      </c>
      <c r="L14" s="181">
        <v>689</v>
      </c>
      <c r="M14" s="181">
        <v>1091</v>
      </c>
      <c r="N14" s="181">
        <v>1129</v>
      </c>
      <c r="O14" s="181">
        <v>1241</v>
      </c>
      <c r="P14" s="181">
        <v>1400</v>
      </c>
      <c r="Q14" s="170">
        <v>1609</v>
      </c>
      <c r="R14" s="170">
        <v>1392</v>
      </c>
      <c r="S14" s="383">
        <v>1514</v>
      </c>
      <c r="T14" s="181">
        <v>1418</v>
      </c>
      <c r="U14" s="181">
        <v>1544</v>
      </c>
      <c r="V14" s="181">
        <v>1127</v>
      </c>
      <c r="W14" s="181">
        <v>801</v>
      </c>
      <c r="X14" s="181">
        <v>894</v>
      </c>
      <c r="Y14" s="465">
        <v>1422</v>
      </c>
    </row>
    <row r="15" spans="1:25" s="31" customFormat="1" ht="18" customHeight="1">
      <c r="A15" s="193" t="s">
        <v>332</v>
      </c>
      <c r="B15" s="181">
        <v>190</v>
      </c>
      <c r="C15" s="181">
        <v>82</v>
      </c>
      <c r="D15" s="181">
        <v>92</v>
      </c>
      <c r="E15" s="181">
        <v>61</v>
      </c>
      <c r="F15" s="181">
        <v>101</v>
      </c>
      <c r="G15" s="181">
        <v>106</v>
      </c>
      <c r="H15" s="181">
        <v>77</v>
      </c>
      <c r="I15" s="181">
        <v>70</v>
      </c>
      <c r="J15" s="181">
        <v>98</v>
      </c>
      <c r="K15" s="181">
        <v>100</v>
      </c>
      <c r="L15" s="181">
        <v>83</v>
      </c>
      <c r="M15" s="181">
        <v>134</v>
      </c>
      <c r="N15" s="181">
        <v>147</v>
      </c>
      <c r="O15" s="181">
        <v>236</v>
      </c>
      <c r="P15" s="181">
        <v>235</v>
      </c>
      <c r="Q15" s="170">
        <v>301</v>
      </c>
      <c r="R15" s="170">
        <v>301</v>
      </c>
      <c r="S15" s="383">
        <v>312</v>
      </c>
      <c r="T15" s="181">
        <v>470</v>
      </c>
      <c r="U15" s="181">
        <v>442</v>
      </c>
      <c r="V15" s="181">
        <v>547</v>
      </c>
      <c r="W15" s="181">
        <v>282</v>
      </c>
      <c r="X15" s="181">
        <v>210</v>
      </c>
      <c r="Y15" s="465">
        <v>151</v>
      </c>
    </row>
    <row r="16" spans="1:25" s="31" customFormat="1" ht="18" customHeight="1">
      <c r="A16" s="193" t="s">
        <v>235</v>
      </c>
      <c r="B16" s="181">
        <v>86</v>
      </c>
      <c r="C16" s="181">
        <v>124</v>
      </c>
      <c r="D16" s="181">
        <v>198</v>
      </c>
      <c r="E16" s="181">
        <v>170</v>
      </c>
      <c r="F16" s="181">
        <v>191</v>
      </c>
      <c r="G16" s="181">
        <v>170</v>
      </c>
      <c r="H16" s="181">
        <v>207</v>
      </c>
      <c r="I16" s="181">
        <v>218</v>
      </c>
      <c r="J16" s="181">
        <v>188</v>
      </c>
      <c r="K16" s="181">
        <v>202</v>
      </c>
      <c r="L16" s="181">
        <v>149</v>
      </c>
      <c r="M16" s="181">
        <v>166</v>
      </c>
      <c r="N16" s="181">
        <v>142</v>
      </c>
      <c r="O16" s="181">
        <v>242</v>
      </c>
      <c r="P16" s="181">
        <v>218</v>
      </c>
      <c r="Q16" s="170">
        <v>195</v>
      </c>
      <c r="R16" s="170">
        <v>226</v>
      </c>
      <c r="S16" s="383">
        <v>214</v>
      </c>
      <c r="T16" s="181">
        <v>212</v>
      </c>
      <c r="U16" s="181">
        <v>150</v>
      </c>
      <c r="V16" s="181">
        <v>118</v>
      </c>
      <c r="W16" s="181">
        <v>174</v>
      </c>
      <c r="X16" s="181">
        <v>198</v>
      </c>
      <c r="Y16" s="465">
        <v>173</v>
      </c>
    </row>
    <row r="17" spans="1:25" s="31" customFormat="1" ht="18" customHeight="1">
      <c r="A17" s="174" t="s">
        <v>711</v>
      </c>
      <c r="B17" s="181">
        <v>1050</v>
      </c>
      <c r="C17" s="181">
        <v>2233</v>
      </c>
      <c r="D17" s="181">
        <v>2287</v>
      </c>
      <c r="E17" s="181">
        <v>2794</v>
      </c>
      <c r="F17" s="181">
        <v>1784</v>
      </c>
      <c r="G17" s="181">
        <v>1727</v>
      </c>
      <c r="H17" s="181">
        <v>2104</v>
      </c>
      <c r="I17" s="181">
        <v>1697</v>
      </c>
      <c r="J17" s="181">
        <v>1731</v>
      </c>
      <c r="K17" s="181">
        <v>2359</v>
      </c>
      <c r="L17" s="181">
        <v>2669</v>
      </c>
      <c r="M17" s="181">
        <v>3210</v>
      </c>
      <c r="N17" s="181">
        <f>2057+531+307</f>
        <v>2895</v>
      </c>
      <c r="O17" s="181">
        <f>2653+594+452</f>
        <v>3699</v>
      </c>
      <c r="P17" s="181">
        <v>4513</v>
      </c>
      <c r="Q17" s="170">
        <v>4576</v>
      </c>
      <c r="R17" s="170">
        <v>5094</v>
      </c>
      <c r="S17" s="383">
        <v>4208</v>
      </c>
      <c r="T17" s="181">
        <v>4835</v>
      </c>
      <c r="U17" s="181">
        <v>5163</v>
      </c>
      <c r="V17" s="181">
        <v>2286</v>
      </c>
      <c r="W17" s="181">
        <v>1813</v>
      </c>
      <c r="X17" s="181">
        <v>3165</v>
      </c>
      <c r="Y17" s="465">
        <v>4947</v>
      </c>
    </row>
    <row r="18" spans="1:25" s="31" customFormat="1" ht="12.75">
      <c r="A18" s="17"/>
      <c r="B18" s="17"/>
      <c r="C18" s="17"/>
      <c r="D18" s="17"/>
      <c r="E18" s="17"/>
      <c r="F18" s="17"/>
      <c r="G18" s="17"/>
      <c r="H18" s="17"/>
      <c r="I18" s="5"/>
      <c r="J18" s="5"/>
      <c r="K18" s="5"/>
      <c r="S18" s="448"/>
      <c r="T18" s="9"/>
      <c r="U18" s="9"/>
      <c r="V18" s="9"/>
      <c r="W18" s="9"/>
      <c r="X18" s="9"/>
      <c r="Y18" s="895"/>
    </row>
    <row r="19" spans="1:25" s="31" customFormat="1" ht="12.75">
      <c r="A19" s="474" t="s">
        <v>726</v>
      </c>
      <c r="B19" s="17"/>
      <c r="C19" s="17"/>
      <c r="D19" s="17"/>
      <c r="E19" s="17"/>
      <c r="F19" s="17"/>
      <c r="G19" s="17"/>
      <c r="H19" s="17"/>
      <c r="I19" s="5"/>
      <c r="J19" s="5"/>
      <c r="K19" s="5"/>
      <c r="S19" s="448"/>
      <c r="T19" s="9"/>
      <c r="U19" s="9"/>
      <c r="V19" s="9"/>
      <c r="W19" s="9"/>
      <c r="X19" s="9"/>
      <c r="Y19" s="895"/>
    </row>
    <row r="20" ht="12.75">
      <c r="A20" s="6" t="s">
        <v>702</v>
      </c>
    </row>
    <row r="21" spans="1:25" ht="12.75">
      <c r="A21" s="1191" t="s">
        <v>767</v>
      </c>
      <c r="B21" s="1191"/>
      <c r="C21" s="1191"/>
      <c r="D21" s="1191"/>
      <c r="E21" s="1191"/>
      <c r="F21" s="1191"/>
      <c r="G21" s="1191"/>
      <c r="H21" s="1191"/>
      <c r="I21" s="1191"/>
      <c r="J21" s="1191"/>
      <c r="K21" s="1191"/>
      <c r="L21" s="1191"/>
      <c r="M21" s="1191"/>
      <c r="N21" s="1191"/>
      <c r="O21" s="1191"/>
      <c r="P21" s="1191"/>
      <c r="Q21" s="1191"/>
      <c r="R21" s="1191"/>
      <c r="S21" s="1191"/>
      <c r="T21" s="1191"/>
      <c r="U21" s="1191"/>
      <c r="V21" s="1191"/>
      <c r="W21" s="1191"/>
      <c r="X21" s="1191"/>
      <c r="Y21" s="1191"/>
    </row>
    <row r="22" spans="1:25" s="1073" customFormat="1" ht="12.75">
      <c r="A22" s="1074" t="s">
        <v>880</v>
      </c>
      <c r="B22" s="1074"/>
      <c r="C22" s="1074"/>
      <c r="D22" s="1074"/>
      <c r="E22" s="1074"/>
      <c r="F22" s="1074"/>
      <c r="G22" s="1074"/>
      <c r="H22" s="1074"/>
      <c r="I22" s="1074"/>
      <c r="J22" s="1074"/>
      <c r="K22" s="1074"/>
      <c r="L22" s="1074"/>
      <c r="M22" s="1074"/>
      <c r="N22" s="1074"/>
      <c r="O22" s="1074"/>
      <c r="P22" s="1074"/>
      <c r="Q22" s="1074"/>
      <c r="R22" s="1074"/>
      <c r="S22" s="1074"/>
      <c r="T22" s="1074"/>
      <c r="U22" s="1074"/>
      <c r="V22" s="1074"/>
      <c r="W22" s="1074"/>
      <c r="X22" s="1074"/>
      <c r="Y22" s="1074"/>
    </row>
    <row r="23" spans="1:11" ht="12.75">
      <c r="A23" s="6"/>
      <c r="B23" s="32"/>
      <c r="C23" s="32"/>
      <c r="D23" s="32"/>
      <c r="E23" s="32"/>
      <c r="F23" s="32"/>
      <c r="G23" s="32"/>
      <c r="H23" s="32"/>
      <c r="I23" s="32"/>
      <c r="J23" s="32"/>
      <c r="K23" s="32"/>
    </row>
    <row r="24" spans="1:11" ht="12.75">
      <c r="A24" s="13" t="s">
        <v>334</v>
      </c>
      <c r="B24" s="17"/>
      <c r="C24" s="17"/>
      <c r="D24" s="17"/>
      <c r="E24" s="17"/>
      <c r="F24" s="17"/>
      <c r="G24" s="17"/>
      <c r="H24" s="17"/>
      <c r="I24" s="5"/>
      <c r="J24" s="5"/>
      <c r="K24" s="5"/>
    </row>
    <row r="25" spans="1:25" ht="12.75">
      <c r="A25" s="1106" t="s">
        <v>864</v>
      </c>
      <c r="B25" s="1106"/>
      <c r="C25" s="1106"/>
      <c r="D25" s="1106"/>
      <c r="E25" s="1106"/>
      <c r="F25" s="1106"/>
      <c r="G25" s="1106"/>
      <c r="H25" s="1106"/>
      <c r="I25" s="1106"/>
      <c r="J25" s="1106"/>
      <c r="K25" s="1106"/>
      <c r="L25" s="1106"/>
      <c r="M25" s="1106"/>
      <c r="N25" s="1106"/>
      <c r="O25" s="1106"/>
      <c r="P25" s="1106"/>
      <c r="Q25" s="1106"/>
      <c r="R25" s="1106"/>
      <c r="S25" s="1106"/>
      <c r="T25" s="1106"/>
      <c r="U25" s="1106"/>
      <c r="V25" s="1106"/>
      <c r="W25" s="1106"/>
      <c r="X25" s="1106"/>
      <c r="Y25" s="1107"/>
    </row>
    <row r="26" spans="1:25" ht="12.75">
      <c r="A26" s="1106" t="s">
        <v>877</v>
      </c>
      <c r="B26" s="1106"/>
      <c r="C26" s="1106"/>
      <c r="D26" s="1106"/>
      <c r="E26" s="1106"/>
      <c r="F26" s="1106"/>
      <c r="G26" s="1106"/>
      <c r="H26" s="1106"/>
      <c r="I26" s="1106"/>
      <c r="J26" s="1106"/>
      <c r="K26" s="1106"/>
      <c r="L26" s="1106"/>
      <c r="M26" s="1106"/>
      <c r="N26" s="1106"/>
      <c r="O26" s="1106"/>
      <c r="P26" s="1106"/>
      <c r="Q26" s="1106"/>
      <c r="R26" s="1106"/>
      <c r="S26" s="1106"/>
      <c r="T26" s="1106"/>
      <c r="U26" s="1106"/>
      <c r="V26" s="1106"/>
      <c r="W26" s="1106"/>
      <c r="X26" s="1106"/>
      <c r="Y26" s="1107"/>
    </row>
  </sheetData>
  <sheetProtection/>
  <mergeCells count="6">
    <mergeCell ref="A26:Y26"/>
    <mergeCell ref="A1:Y1"/>
    <mergeCell ref="A3:Y3"/>
    <mergeCell ref="A4:Y4"/>
    <mergeCell ref="A21:Y21"/>
    <mergeCell ref="A25:Y25"/>
  </mergeCells>
  <printOptions horizontalCentered="1"/>
  <pageMargins left="0.7874015748031497" right="0.7874015748031497" top="0.984251968503937" bottom="0.984251968503937" header="0" footer="0"/>
  <pageSetup fitToHeight="1" fitToWidth="1" horizontalDpi="600" verticalDpi="600" orientation="landscape" scale="43"/>
</worksheet>
</file>

<file path=xl/worksheets/sheet34.xml><?xml version="1.0" encoding="utf-8"?>
<worksheet xmlns="http://schemas.openxmlformats.org/spreadsheetml/2006/main" xmlns:r="http://schemas.openxmlformats.org/officeDocument/2006/relationships">
  <sheetPr>
    <tabColor theme="9" tint="-0.24997000396251678"/>
    <pageSetUpPr fitToPage="1"/>
  </sheetPr>
  <dimension ref="A1:Y26"/>
  <sheetViews>
    <sheetView zoomScalePageLayoutView="0" workbookViewId="0" topLeftCell="A1">
      <selection activeCell="A16" sqref="A16"/>
    </sheetView>
  </sheetViews>
  <sheetFormatPr defaultColWidth="10.8515625" defaultRowHeight="12.75"/>
  <cols>
    <col min="1" max="1" width="39.7109375" style="2" customWidth="1"/>
    <col min="2" max="16" width="11.421875" style="2" customWidth="1"/>
    <col min="17" max="18" width="11.421875" style="0" customWidth="1"/>
    <col min="19" max="24" width="11.421875" style="2" customWidth="1"/>
    <col min="25" max="25" width="11.421875" style="461" customWidth="1"/>
    <col min="26" max="16384" width="10.8515625" style="2" customWidth="1"/>
  </cols>
  <sheetData>
    <row r="1" spans="1:25" ht="12.75">
      <c r="A1" s="1175" t="s">
        <v>589</v>
      </c>
      <c r="B1" s="1176"/>
      <c r="C1" s="1176"/>
      <c r="D1" s="1176"/>
      <c r="E1" s="1176"/>
      <c r="F1" s="1176"/>
      <c r="G1" s="1176"/>
      <c r="H1" s="1176"/>
      <c r="I1" s="1176"/>
      <c r="J1" s="1176"/>
      <c r="K1" s="1176"/>
      <c r="L1" s="1176"/>
      <c r="M1" s="1176"/>
      <c r="N1" s="1176"/>
      <c r="O1" s="1176"/>
      <c r="P1" s="1176"/>
      <c r="Q1" s="1176"/>
      <c r="R1" s="1176"/>
      <c r="S1" s="1176"/>
      <c r="T1" s="1176"/>
      <c r="U1" s="1176"/>
      <c r="V1" s="1176"/>
      <c r="W1" s="1176"/>
      <c r="X1" s="1176"/>
      <c r="Y1" s="1176"/>
    </row>
    <row r="3" spans="1:25" s="9" customFormat="1" ht="18" customHeight="1">
      <c r="A3" s="1192" t="s">
        <v>534</v>
      </c>
      <c r="B3" s="1192"/>
      <c r="C3" s="1192"/>
      <c r="D3" s="1192"/>
      <c r="E3" s="1192"/>
      <c r="F3" s="1192"/>
      <c r="G3" s="1192"/>
      <c r="H3" s="1192"/>
      <c r="I3" s="1192"/>
      <c r="J3" s="1192"/>
      <c r="K3" s="1192"/>
      <c r="L3" s="1192"/>
      <c r="M3" s="1192"/>
      <c r="N3" s="1192"/>
      <c r="O3" s="1192"/>
      <c r="P3" s="1192"/>
      <c r="Q3" s="1192"/>
      <c r="R3" s="1192"/>
      <c r="S3" s="1192"/>
      <c r="T3" s="1192"/>
      <c r="U3" s="1192"/>
      <c r="V3" s="1192"/>
      <c r="W3" s="1192"/>
      <c r="X3" s="1192"/>
      <c r="Y3" s="1114"/>
    </row>
    <row r="4" spans="1:25" s="9" customFormat="1" ht="18" customHeight="1">
      <c r="A4" s="1111" t="s">
        <v>720</v>
      </c>
      <c r="B4" s="1111"/>
      <c r="C4" s="1111"/>
      <c r="D4" s="1111"/>
      <c r="E4" s="1111"/>
      <c r="F4" s="1111"/>
      <c r="G4" s="1111"/>
      <c r="H4" s="1111"/>
      <c r="I4" s="1111"/>
      <c r="J4" s="1111"/>
      <c r="K4" s="1111"/>
      <c r="L4" s="1111"/>
      <c r="M4" s="1111"/>
      <c r="N4" s="1111"/>
      <c r="O4" s="1111"/>
      <c r="P4" s="1111"/>
      <c r="Q4" s="1111"/>
      <c r="R4" s="1111"/>
      <c r="S4" s="1111"/>
      <c r="T4" s="1111"/>
      <c r="U4" s="1111"/>
      <c r="V4" s="1111"/>
      <c r="W4" s="1111"/>
      <c r="X4" s="1111"/>
      <c r="Y4" s="1107"/>
    </row>
    <row r="5" spans="1:25" s="9" customFormat="1" ht="18" customHeight="1">
      <c r="A5" s="5"/>
      <c r="B5" s="5"/>
      <c r="C5" s="5"/>
      <c r="D5" s="5"/>
      <c r="E5" s="5"/>
      <c r="F5" s="5"/>
      <c r="G5" s="5"/>
      <c r="H5" s="5"/>
      <c r="I5" s="5"/>
      <c r="J5" s="5"/>
      <c r="K5" s="5"/>
      <c r="Q5" s="31"/>
      <c r="R5" s="31"/>
      <c r="Y5" s="895"/>
    </row>
    <row r="6" spans="1:25" s="9" customFormat="1" ht="18" customHeight="1">
      <c r="A6" s="19"/>
      <c r="B6" s="290">
        <v>2000</v>
      </c>
      <c r="C6" s="290">
        <v>2001</v>
      </c>
      <c r="D6" s="290">
        <v>2002</v>
      </c>
      <c r="E6" s="290">
        <v>2003</v>
      </c>
      <c r="F6" s="290">
        <v>2004</v>
      </c>
      <c r="G6" s="290">
        <v>2005</v>
      </c>
      <c r="H6" s="290">
        <v>2006</v>
      </c>
      <c r="I6" s="290">
        <v>2007</v>
      </c>
      <c r="J6" s="290">
        <v>2008</v>
      </c>
      <c r="K6" s="290">
        <v>2009</v>
      </c>
      <c r="L6" s="290">
        <v>2010</v>
      </c>
      <c r="M6" s="290">
        <v>2011</v>
      </c>
      <c r="N6" s="290">
        <v>2012</v>
      </c>
      <c r="O6" s="290">
        <v>2013</v>
      </c>
      <c r="P6" s="290">
        <v>2014</v>
      </c>
      <c r="Q6" s="290">
        <v>2015</v>
      </c>
      <c r="R6" s="290">
        <v>2016</v>
      </c>
      <c r="S6" s="290">
        <v>2017</v>
      </c>
      <c r="T6" s="290">
        <v>2018</v>
      </c>
      <c r="U6" s="290">
        <v>2019</v>
      </c>
      <c r="V6" s="290" t="s">
        <v>725</v>
      </c>
      <c r="W6" s="290" t="s">
        <v>782</v>
      </c>
      <c r="X6" s="290" t="s">
        <v>878</v>
      </c>
      <c r="Y6" s="463" t="s">
        <v>879</v>
      </c>
    </row>
    <row r="7" spans="1:25" s="9" customFormat="1" ht="18" customHeight="1">
      <c r="A7" s="176" t="s">
        <v>335</v>
      </c>
      <c r="B7" s="192">
        <f>SUM(B8:B17)</f>
        <v>994407</v>
      </c>
      <c r="C7" s="192">
        <f>SUM(C8:C17)</f>
        <v>1474474</v>
      </c>
      <c r="D7" s="192">
        <f>SUM(D8:D17)</f>
        <v>1431641</v>
      </c>
      <c r="E7" s="192">
        <f>SUM(E8:E17)</f>
        <v>1331352</v>
      </c>
      <c r="F7" s="192">
        <f>SUM(F8:F17)</f>
        <v>1060255</v>
      </c>
      <c r="G7" s="192">
        <f>SUM(G8:G17)</f>
        <v>1326287</v>
      </c>
      <c r="H7" s="192">
        <f>SUM(H8:H17)</f>
        <v>3539128</v>
      </c>
      <c r="I7" s="192">
        <f>SUM(I8:I17)</f>
        <v>3502088</v>
      </c>
      <c r="J7" s="192">
        <f>SUM(J8:J17)</f>
        <v>2210973</v>
      </c>
      <c r="K7" s="192">
        <f>SUM(K8:K17)</f>
        <v>2491164</v>
      </c>
      <c r="L7" s="192">
        <f>SUM(L8:L17)</f>
        <v>1646452</v>
      </c>
      <c r="M7" s="192">
        <f aca="true" t="shared" si="0" ref="M7:X7">SUM(M8:M17)</f>
        <v>1947671</v>
      </c>
      <c r="N7" s="192">
        <f t="shared" si="0"/>
        <v>2021713</v>
      </c>
      <c r="O7" s="192">
        <f t="shared" si="0"/>
        <v>1898517</v>
      </c>
      <c r="P7" s="192">
        <f t="shared" si="0"/>
        <v>2147412</v>
      </c>
      <c r="Q7" s="192">
        <f t="shared" si="0"/>
        <v>2280560</v>
      </c>
      <c r="R7" s="192">
        <f t="shared" si="0"/>
        <v>2980809</v>
      </c>
      <c r="S7" s="192">
        <f t="shared" si="0"/>
        <v>2246148</v>
      </c>
      <c r="T7" s="192">
        <f t="shared" si="0"/>
        <v>2890264</v>
      </c>
      <c r="U7" s="192">
        <f t="shared" si="0"/>
        <v>2426516</v>
      </c>
      <c r="V7" s="192">
        <f t="shared" si="0"/>
        <v>4868831</v>
      </c>
      <c r="W7" s="192">
        <f t="shared" si="0"/>
        <v>2044047</v>
      </c>
      <c r="X7" s="192">
        <f t="shared" si="0"/>
        <v>1587014</v>
      </c>
      <c r="Y7" s="482">
        <f>SUM(Y8:Y17)</f>
        <v>2056843</v>
      </c>
    </row>
    <row r="8" spans="1:25" s="9" customFormat="1" ht="18" customHeight="1">
      <c r="A8" s="174" t="s">
        <v>326</v>
      </c>
      <c r="B8" s="181">
        <v>195490</v>
      </c>
      <c r="C8" s="181">
        <v>261197</v>
      </c>
      <c r="D8" s="181">
        <v>237236</v>
      </c>
      <c r="E8" s="181">
        <v>208824</v>
      </c>
      <c r="F8" s="181">
        <v>226537</v>
      </c>
      <c r="G8" s="181">
        <v>239517</v>
      </c>
      <c r="H8" s="181">
        <v>176636</v>
      </c>
      <c r="I8" s="181">
        <v>214195</v>
      </c>
      <c r="J8" s="181">
        <v>197088</v>
      </c>
      <c r="K8" s="181">
        <v>211913</v>
      </c>
      <c r="L8" s="181">
        <v>278140</v>
      </c>
      <c r="M8" s="181">
        <v>220582</v>
      </c>
      <c r="N8" s="181">
        <v>221646</v>
      </c>
      <c r="O8" s="181">
        <v>256796</v>
      </c>
      <c r="P8" s="181">
        <v>262059</v>
      </c>
      <c r="Q8" s="170">
        <v>259063</v>
      </c>
      <c r="R8" s="170">
        <v>264340</v>
      </c>
      <c r="S8" s="181">
        <v>229330</v>
      </c>
      <c r="T8" s="181">
        <v>217780</v>
      </c>
      <c r="U8" s="181">
        <v>241654</v>
      </c>
      <c r="V8" s="181">
        <v>157842</v>
      </c>
      <c r="W8" s="181">
        <v>77003</v>
      </c>
      <c r="X8" s="181">
        <v>176263</v>
      </c>
      <c r="Y8" s="465">
        <v>339872</v>
      </c>
    </row>
    <row r="9" spans="1:25" s="9" customFormat="1" ht="18" customHeight="1">
      <c r="A9" s="174" t="s">
        <v>327</v>
      </c>
      <c r="B9" s="181">
        <v>92703</v>
      </c>
      <c r="C9" s="181">
        <v>123994</v>
      </c>
      <c r="D9" s="181">
        <v>140830</v>
      </c>
      <c r="E9" s="181">
        <v>164023</v>
      </c>
      <c r="F9" s="181">
        <v>140819</v>
      </c>
      <c r="G9" s="181">
        <v>151806</v>
      </c>
      <c r="H9" s="181">
        <v>105906</v>
      </c>
      <c r="I9" s="181">
        <v>96398</v>
      </c>
      <c r="J9" s="181">
        <v>134338</v>
      </c>
      <c r="K9" s="181">
        <v>139197</v>
      </c>
      <c r="L9" s="181">
        <v>133673</v>
      </c>
      <c r="M9" s="181">
        <v>134609</v>
      </c>
      <c r="N9" s="181">
        <v>124489</v>
      </c>
      <c r="O9" s="181">
        <v>103993</v>
      </c>
      <c r="P9" s="181">
        <v>126765</v>
      </c>
      <c r="Q9" s="170">
        <v>140467</v>
      </c>
      <c r="R9" s="170">
        <v>131628</v>
      </c>
      <c r="S9" s="181">
        <v>122279</v>
      </c>
      <c r="T9" s="181">
        <v>128994</v>
      </c>
      <c r="U9" s="181">
        <v>118590</v>
      </c>
      <c r="V9" s="181">
        <v>142909</v>
      </c>
      <c r="W9" s="181">
        <v>150414</v>
      </c>
      <c r="X9" s="181">
        <v>67210</v>
      </c>
      <c r="Y9" s="465">
        <v>92237</v>
      </c>
    </row>
    <row r="10" spans="1:25" s="9" customFormat="1" ht="18" customHeight="1">
      <c r="A10" s="174" t="s">
        <v>328</v>
      </c>
      <c r="B10" s="181">
        <v>85529</v>
      </c>
      <c r="C10" s="181">
        <v>121276</v>
      </c>
      <c r="D10" s="181">
        <v>99865</v>
      </c>
      <c r="E10" s="181">
        <v>116819</v>
      </c>
      <c r="F10" s="181">
        <v>97055</v>
      </c>
      <c r="G10" s="181">
        <v>80019</v>
      </c>
      <c r="H10" s="181">
        <v>69195</v>
      </c>
      <c r="I10" s="181">
        <v>60507</v>
      </c>
      <c r="J10" s="181">
        <v>53501</v>
      </c>
      <c r="K10" s="181">
        <v>60394</v>
      </c>
      <c r="L10" s="181">
        <v>78583</v>
      </c>
      <c r="M10" s="181">
        <v>67686</v>
      </c>
      <c r="N10" s="181">
        <v>83727</v>
      </c>
      <c r="O10" s="181">
        <v>93847</v>
      </c>
      <c r="P10" s="181">
        <v>91221</v>
      </c>
      <c r="Q10" s="170">
        <v>89815</v>
      </c>
      <c r="R10" s="170">
        <v>74851</v>
      </c>
      <c r="S10" s="181">
        <v>60572</v>
      </c>
      <c r="T10" s="181">
        <v>46983</v>
      </c>
      <c r="U10" s="181">
        <v>56235</v>
      </c>
      <c r="V10" s="181">
        <v>645650</v>
      </c>
      <c r="W10" s="181">
        <v>84247</v>
      </c>
      <c r="X10" s="181">
        <v>33680</v>
      </c>
      <c r="Y10" s="465">
        <v>52836</v>
      </c>
    </row>
    <row r="11" spans="1:25" s="9" customFormat="1" ht="18" customHeight="1">
      <c r="A11" s="174" t="s">
        <v>329</v>
      </c>
      <c r="B11" s="181">
        <v>171095</v>
      </c>
      <c r="C11" s="181">
        <v>155384</v>
      </c>
      <c r="D11" s="181">
        <v>441598</v>
      </c>
      <c r="E11" s="181">
        <v>132134</v>
      </c>
      <c r="F11" s="181">
        <v>110142</v>
      </c>
      <c r="G11" s="181">
        <v>104295</v>
      </c>
      <c r="H11" s="181">
        <v>97205</v>
      </c>
      <c r="I11" s="181">
        <v>78334</v>
      </c>
      <c r="J11" s="181">
        <v>80278</v>
      </c>
      <c r="K11" s="181">
        <v>79176</v>
      </c>
      <c r="L11" s="181">
        <v>86390</v>
      </c>
      <c r="M11" s="181">
        <v>45615</v>
      </c>
      <c r="N11" s="181">
        <v>129222</v>
      </c>
      <c r="O11" s="181">
        <v>86154</v>
      </c>
      <c r="P11" s="181">
        <v>92467</v>
      </c>
      <c r="Q11" s="170">
        <v>146447</v>
      </c>
      <c r="R11" s="170">
        <v>82303</v>
      </c>
      <c r="S11" s="181">
        <v>61491</v>
      </c>
      <c r="T11" s="181">
        <v>79835</v>
      </c>
      <c r="U11" s="181">
        <v>66683</v>
      </c>
      <c r="V11" s="181">
        <v>232786</v>
      </c>
      <c r="W11" s="181">
        <v>129149</v>
      </c>
      <c r="X11" s="181">
        <v>68875</v>
      </c>
      <c r="Y11" s="465">
        <v>38531</v>
      </c>
    </row>
    <row r="12" spans="1:25" s="9" customFormat="1" ht="18" customHeight="1">
      <c r="A12" s="174" t="s">
        <v>330</v>
      </c>
      <c r="B12" s="181">
        <v>300086</v>
      </c>
      <c r="C12" s="181">
        <v>568095</v>
      </c>
      <c r="D12" s="181">
        <v>401124</v>
      </c>
      <c r="E12" s="181">
        <v>430524</v>
      </c>
      <c r="F12" s="181">
        <v>303451</v>
      </c>
      <c r="G12" s="181">
        <v>618051</v>
      </c>
      <c r="H12" s="181">
        <v>2845538</v>
      </c>
      <c r="I12" s="181">
        <v>2900550</v>
      </c>
      <c r="J12" s="181">
        <v>1347549</v>
      </c>
      <c r="K12" s="181">
        <v>1787575</v>
      </c>
      <c r="L12" s="181">
        <v>877043</v>
      </c>
      <c r="M12" s="181">
        <v>1241308</v>
      </c>
      <c r="N12" s="181">
        <v>1046774</v>
      </c>
      <c r="O12" s="181">
        <v>938014</v>
      </c>
      <c r="P12" s="181">
        <v>1121393</v>
      </c>
      <c r="Q12" s="170">
        <v>1155800</v>
      </c>
      <c r="R12" s="170">
        <v>1921866</v>
      </c>
      <c r="S12" s="181">
        <v>1381251</v>
      </c>
      <c r="T12" s="181">
        <v>1902518</v>
      </c>
      <c r="U12" s="181">
        <v>1270771</v>
      </c>
      <c r="V12" s="181">
        <v>343068</v>
      </c>
      <c r="W12" s="181">
        <v>157791</v>
      </c>
      <c r="X12" s="181">
        <v>574573</v>
      </c>
      <c r="Y12" s="465">
        <v>625219</v>
      </c>
    </row>
    <row r="13" spans="1:25" s="9" customFormat="1" ht="18" customHeight="1">
      <c r="A13" s="174" t="s">
        <v>710</v>
      </c>
      <c r="B13" s="181">
        <v>11655</v>
      </c>
      <c r="C13" s="181">
        <v>11361</v>
      </c>
      <c r="D13" s="181">
        <v>6630</v>
      </c>
      <c r="E13" s="181">
        <v>7644</v>
      </c>
      <c r="F13" s="181">
        <v>14997</v>
      </c>
      <c r="G13" s="181">
        <v>7090</v>
      </c>
      <c r="H13" s="181">
        <v>12620</v>
      </c>
      <c r="I13" s="181">
        <v>6167</v>
      </c>
      <c r="J13" s="181">
        <v>10938</v>
      </c>
      <c r="K13" s="181">
        <v>28257</v>
      </c>
      <c r="L13" s="181">
        <v>28536</v>
      </c>
      <c r="M13" s="181">
        <v>26631</v>
      </c>
      <c r="N13" s="181">
        <v>37410</v>
      </c>
      <c r="O13" s="181">
        <v>51792</v>
      </c>
      <c r="P13" s="181">
        <v>58158</v>
      </c>
      <c r="Q13" s="170">
        <v>50407</v>
      </c>
      <c r="R13" s="170">
        <v>57607</v>
      </c>
      <c r="S13" s="181">
        <v>69692</v>
      </c>
      <c r="T13" s="181">
        <v>70811</v>
      </c>
      <c r="U13" s="181">
        <v>184936</v>
      </c>
      <c r="V13" s="181">
        <v>1665262</v>
      </c>
      <c r="W13" s="181">
        <v>642301</v>
      </c>
      <c r="X13" s="181">
        <v>305123</v>
      </c>
      <c r="Y13" s="465">
        <v>373913</v>
      </c>
    </row>
    <row r="14" spans="1:25" s="9" customFormat="1" ht="18" customHeight="1">
      <c r="A14" s="174" t="s">
        <v>331</v>
      </c>
      <c r="B14" s="181">
        <v>6177</v>
      </c>
      <c r="C14" s="181">
        <v>11686</v>
      </c>
      <c r="D14" s="181">
        <v>11119</v>
      </c>
      <c r="E14" s="181">
        <v>9318</v>
      </c>
      <c r="F14" s="181">
        <v>12654</v>
      </c>
      <c r="G14" s="181">
        <v>20940</v>
      </c>
      <c r="H14" s="181">
        <v>13550</v>
      </c>
      <c r="I14" s="181">
        <v>11871</v>
      </c>
      <c r="J14" s="181">
        <v>13947</v>
      </c>
      <c r="K14" s="181">
        <v>26821</v>
      </c>
      <c r="L14" s="181">
        <v>23912</v>
      </c>
      <c r="M14" s="181">
        <v>40090</v>
      </c>
      <c r="N14" s="181">
        <v>30220</v>
      </c>
      <c r="O14" s="181">
        <v>33874</v>
      </c>
      <c r="P14" s="181">
        <v>37048</v>
      </c>
      <c r="Q14" s="170">
        <v>38214</v>
      </c>
      <c r="R14" s="170">
        <v>27277</v>
      </c>
      <c r="S14" s="181">
        <v>30178</v>
      </c>
      <c r="T14" s="181">
        <v>28024</v>
      </c>
      <c r="U14" s="181">
        <v>30522</v>
      </c>
      <c r="V14" s="181">
        <v>146061</v>
      </c>
      <c r="W14" s="181">
        <v>50737</v>
      </c>
      <c r="X14" s="181">
        <v>18991</v>
      </c>
      <c r="Y14" s="465">
        <v>28328</v>
      </c>
    </row>
    <row r="15" spans="1:25" s="9" customFormat="1" ht="18" customHeight="1">
      <c r="A15" s="174" t="s">
        <v>332</v>
      </c>
      <c r="B15" s="181">
        <v>9580</v>
      </c>
      <c r="C15" s="181">
        <v>4135</v>
      </c>
      <c r="D15" s="181">
        <v>8092</v>
      </c>
      <c r="E15" s="181">
        <v>3716</v>
      </c>
      <c r="F15" s="181">
        <v>9452</v>
      </c>
      <c r="G15" s="181">
        <v>11371</v>
      </c>
      <c r="H15" s="181">
        <v>6302</v>
      </c>
      <c r="I15" s="181">
        <v>4970</v>
      </c>
      <c r="J15" s="181">
        <v>9446</v>
      </c>
      <c r="K15" s="181">
        <v>13208</v>
      </c>
      <c r="L15" s="181">
        <v>11340</v>
      </c>
      <c r="M15" s="181">
        <v>12253</v>
      </c>
      <c r="N15" s="181">
        <v>13492</v>
      </c>
      <c r="O15" s="181">
        <v>24469</v>
      </c>
      <c r="P15" s="181">
        <v>21935</v>
      </c>
      <c r="Q15" s="170">
        <v>21390</v>
      </c>
      <c r="R15" s="170">
        <v>39424</v>
      </c>
      <c r="S15" s="181">
        <v>34155</v>
      </c>
      <c r="T15" s="181">
        <v>40298</v>
      </c>
      <c r="U15" s="181">
        <v>40240</v>
      </c>
      <c r="V15" s="181">
        <v>454327</v>
      </c>
      <c r="W15" s="181">
        <v>183705</v>
      </c>
      <c r="X15" s="181">
        <v>15308</v>
      </c>
      <c r="Y15" s="465">
        <v>22182</v>
      </c>
    </row>
    <row r="16" spans="1:25" s="9" customFormat="1" ht="18" customHeight="1">
      <c r="A16" s="174" t="s">
        <v>235</v>
      </c>
      <c r="B16" s="181">
        <v>349</v>
      </c>
      <c r="C16" s="181">
        <v>993</v>
      </c>
      <c r="D16" s="181">
        <v>839</v>
      </c>
      <c r="E16" s="181">
        <v>600</v>
      </c>
      <c r="F16" s="181">
        <v>1374</v>
      </c>
      <c r="G16" s="181">
        <v>1326</v>
      </c>
      <c r="H16" s="181">
        <v>1400</v>
      </c>
      <c r="I16" s="181">
        <v>1793</v>
      </c>
      <c r="J16" s="181">
        <v>547</v>
      </c>
      <c r="K16" s="181">
        <v>2755</v>
      </c>
      <c r="L16" s="181">
        <v>2370</v>
      </c>
      <c r="M16" s="181">
        <v>5134</v>
      </c>
      <c r="N16" s="181">
        <v>3590</v>
      </c>
      <c r="O16" s="181">
        <v>6185</v>
      </c>
      <c r="P16" s="181">
        <v>5195</v>
      </c>
      <c r="Q16" s="170">
        <v>4511</v>
      </c>
      <c r="R16" s="170">
        <v>6588</v>
      </c>
      <c r="S16" s="181">
        <v>5314</v>
      </c>
      <c r="T16" s="181">
        <v>8959</v>
      </c>
      <c r="U16" s="181">
        <v>3701</v>
      </c>
      <c r="V16" s="181">
        <v>12494</v>
      </c>
      <c r="W16" s="181">
        <v>3636</v>
      </c>
      <c r="X16" s="181">
        <v>5310</v>
      </c>
      <c r="Y16" s="465">
        <v>3815</v>
      </c>
    </row>
    <row r="17" spans="1:25" s="9" customFormat="1" ht="18" customHeight="1">
      <c r="A17" s="174" t="s">
        <v>711</v>
      </c>
      <c r="B17" s="181">
        <v>121743</v>
      </c>
      <c r="C17" s="181">
        <v>216353</v>
      </c>
      <c r="D17" s="181">
        <v>84308</v>
      </c>
      <c r="E17" s="181">
        <v>257750</v>
      </c>
      <c r="F17" s="181">
        <v>143774</v>
      </c>
      <c r="G17" s="181">
        <v>91872</v>
      </c>
      <c r="H17" s="181">
        <v>210776</v>
      </c>
      <c r="I17" s="181">
        <v>127303</v>
      </c>
      <c r="J17" s="181">
        <v>363341</v>
      </c>
      <c r="K17" s="181">
        <v>141868</v>
      </c>
      <c r="L17" s="181">
        <v>126465</v>
      </c>
      <c r="M17" s="181">
        <v>153763</v>
      </c>
      <c r="N17" s="181">
        <f>57482+106486+167175</f>
        <v>331143</v>
      </c>
      <c r="O17" s="181">
        <f>54630+101756+147007</f>
        <v>303393</v>
      </c>
      <c r="P17" s="181">
        <v>331171</v>
      </c>
      <c r="Q17" s="170">
        <v>374446</v>
      </c>
      <c r="R17" s="170">
        <v>374925</v>
      </c>
      <c r="S17" s="181">
        <v>251886</v>
      </c>
      <c r="T17" s="181">
        <v>366062</v>
      </c>
      <c r="U17" s="181">
        <v>413184</v>
      </c>
      <c r="V17" s="181">
        <v>1068432</v>
      </c>
      <c r="W17" s="181">
        <v>565064</v>
      </c>
      <c r="X17" s="181">
        <v>321681</v>
      </c>
      <c r="Y17" s="465">
        <v>479910</v>
      </c>
    </row>
    <row r="18" spans="1:11" ht="12.75">
      <c r="A18" s="5"/>
      <c r="B18" s="5"/>
      <c r="C18" s="5"/>
      <c r="D18" s="5"/>
      <c r="E18" s="5"/>
      <c r="F18" s="5"/>
      <c r="G18" s="5"/>
      <c r="H18" s="5"/>
      <c r="I18" s="5"/>
      <c r="J18" s="5"/>
      <c r="K18" s="5"/>
    </row>
    <row r="19" spans="1:25" s="31" customFormat="1" ht="12.75">
      <c r="A19" s="989" t="s">
        <v>727</v>
      </c>
      <c r="B19" s="989"/>
      <c r="C19" s="989"/>
      <c r="D19" s="989"/>
      <c r="E19" s="989"/>
      <c r="F19" s="989"/>
      <c r="G19" s="989"/>
      <c r="H19" s="989"/>
      <c r="I19" s="989"/>
      <c r="J19" s="5"/>
      <c r="K19" s="5"/>
      <c r="S19" s="448"/>
      <c r="T19" s="9"/>
      <c r="U19" s="9"/>
      <c r="V19" s="9"/>
      <c r="W19" s="9"/>
      <c r="X19" s="9"/>
      <c r="Y19" s="895"/>
    </row>
    <row r="20" spans="1:19" ht="12.75">
      <c r="A20" s="6" t="s">
        <v>702</v>
      </c>
      <c r="S20" s="386"/>
    </row>
    <row r="21" spans="1:25" ht="12.75" customHeight="1">
      <c r="A21" s="1191" t="s">
        <v>767</v>
      </c>
      <c r="B21" s="1191"/>
      <c r="C21" s="1191"/>
      <c r="D21" s="1191"/>
      <c r="E21" s="1191"/>
      <c r="F21" s="1191"/>
      <c r="G21" s="1191"/>
      <c r="H21" s="1191"/>
      <c r="I21" s="1191"/>
      <c r="J21" s="1191"/>
      <c r="K21" s="1191"/>
      <c r="L21" s="1191"/>
      <c r="M21" s="1191"/>
      <c r="N21" s="1191"/>
      <c r="O21" s="1191"/>
      <c r="P21" s="1191"/>
      <c r="Q21" s="1191"/>
      <c r="R21" s="1191"/>
      <c r="S21" s="1191"/>
      <c r="T21" s="1191"/>
      <c r="U21" s="1191"/>
      <c r="V21" s="1191"/>
      <c r="W21" s="1191"/>
      <c r="X21" s="1191"/>
      <c r="Y21" s="1191"/>
    </row>
    <row r="22" spans="1:11" ht="12.75">
      <c r="A22" s="6" t="s">
        <v>881</v>
      </c>
      <c r="B22" s="5"/>
      <c r="C22" s="5"/>
      <c r="D22" s="5"/>
      <c r="E22" s="5"/>
      <c r="F22" s="5"/>
      <c r="G22" s="5"/>
      <c r="H22" s="5"/>
      <c r="I22" s="5"/>
      <c r="J22" s="5"/>
      <c r="K22" s="5"/>
    </row>
    <row r="23" spans="1:25" ht="12.75">
      <c r="A23" s="6"/>
      <c r="B23" s="5"/>
      <c r="C23" s="5"/>
      <c r="D23" s="5"/>
      <c r="E23" s="5"/>
      <c r="F23" s="5"/>
      <c r="G23" s="5"/>
      <c r="H23" s="5"/>
      <c r="I23" s="5"/>
      <c r="J23" s="5"/>
      <c r="K23" s="5"/>
      <c r="Q23" s="1104"/>
      <c r="R23" s="1104"/>
      <c r="Y23" s="1103"/>
    </row>
    <row r="24" spans="1:11" ht="12.75">
      <c r="A24" s="13" t="s">
        <v>334</v>
      </c>
      <c r="B24" s="5"/>
      <c r="C24" s="5"/>
      <c r="D24" s="5"/>
      <c r="E24" s="5"/>
      <c r="F24" s="5"/>
      <c r="G24" s="5"/>
      <c r="H24" s="5"/>
      <c r="I24" s="5"/>
      <c r="J24" s="5"/>
      <c r="K24" s="5"/>
    </row>
    <row r="25" spans="1:25" ht="12.75">
      <c r="A25" s="1106" t="s">
        <v>864</v>
      </c>
      <c r="B25" s="1106"/>
      <c r="C25" s="1106"/>
      <c r="D25" s="1106"/>
      <c r="E25" s="1106"/>
      <c r="F25" s="1106"/>
      <c r="G25" s="1106"/>
      <c r="H25" s="1106"/>
      <c r="I25" s="1106"/>
      <c r="J25" s="1106"/>
      <c r="K25" s="1106"/>
      <c r="L25" s="1106"/>
      <c r="M25" s="1106"/>
      <c r="N25" s="1106"/>
      <c r="O25" s="1106"/>
      <c r="P25" s="1106"/>
      <c r="Q25" s="1106"/>
      <c r="R25" s="1106"/>
      <c r="S25" s="1106"/>
      <c r="T25" s="1106"/>
      <c r="U25" s="1106"/>
      <c r="V25" s="1106"/>
      <c r="W25" s="1106"/>
      <c r="X25" s="1106"/>
      <c r="Y25" s="1107"/>
    </row>
    <row r="26" spans="1:25" ht="12.75">
      <c r="A26" s="1106" t="s">
        <v>877</v>
      </c>
      <c r="B26" s="1106"/>
      <c r="C26" s="1106"/>
      <c r="D26" s="1106"/>
      <c r="E26" s="1106"/>
      <c r="F26" s="1106"/>
      <c r="G26" s="1106"/>
      <c r="H26" s="1106"/>
      <c r="I26" s="1106"/>
      <c r="J26" s="1106"/>
      <c r="K26" s="1106"/>
      <c r="L26" s="1106"/>
      <c r="M26" s="1106"/>
      <c r="N26" s="1106"/>
      <c r="O26" s="1106"/>
      <c r="P26" s="1106"/>
      <c r="Q26" s="1106"/>
      <c r="R26" s="1106"/>
      <c r="S26" s="1106"/>
      <c r="T26" s="1106"/>
      <c r="U26" s="1106"/>
      <c r="V26" s="1106"/>
      <c r="W26" s="1106"/>
      <c r="X26" s="1106"/>
      <c r="Y26" s="1107"/>
    </row>
  </sheetData>
  <sheetProtection/>
  <mergeCells count="6">
    <mergeCell ref="A26:Y26"/>
    <mergeCell ref="A1:Y1"/>
    <mergeCell ref="A3:Y3"/>
    <mergeCell ref="A4:Y4"/>
    <mergeCell ref="A21:Y21"/>
    <mergeCell ref="A25:Y25"/>
  </mergeCells>
  <printOptions horizontalCentered="1"/>
  <pageMargins left="0.7874015748031497" right="0.7874015748031497" top="0.984251968503937" bottom="0.984251968503937" header="0" footer="0"/>
  <pageSetup fitToHeight="1" fitToWidth="1" horizontalDpi="600" verticalDpi="600" orientation="landscape" scale="41"/>
</worksheet>
</file>

<file path=xl/worksheets/sheet35.xml><?xml version="1.0" encoding="utf-8"?>
<worksheet xmlns="http://schemas.openxmlformats.org/spreadsheetml/2006/main" xmlns:r="http://schemas.openxmlformats.org/officeDocument/2006/relationships">
  <sheetPr>
    <tabColor theme="9" tint="-0.24997000396251678"/>
    <pageSetUpPr fitToPage="1"/>
  </sheetPr>
  <dimension ref="A1:Y60"/>
  <sheetViews>
    <sheetView zoomScalePageLayoutView="0" workbookViewId="0" topLeftCell="A27">
      <selection activeCell="A1" sqref="A1:Y1"/>
    </sheetView>
  </sheetViews>
  <sheetFormatPr defaultColWidth="10.8515625" defaultRowHeight="12.75"/>
  <cols>
    <col min="1" max="1" width="39.7109375" style="2" customWidth="1"/>
    <col min="2" max="15" width="10.8515625" style="2" customWidth="1"/>
    <col min="16" max="18" width="10.8515625" style="0" customWidth="1"/>
    <col min="19" max="19" width="10.8515625" style="2" customWidth="1"/>
    <col min="20" max="20" width="10.8515625" style="386" customWidth="1"/>
    <col min="21" max="24" width="10.8515625" style="2" customWidth="1"/>
    <col min="25" max="25" width="10.8515625" style="461" customWidth="1"/>
    <col min="26" max="16384" width="10.8515625" style="2" customWidth="1"/>
  </cols>
  <sheetData>
    <row r="1" spans="1:25" ht="12.75">
      <c r="A1" s="1175" t="s">
        <v>590</v>
      </c>
      <c r="B1" s="1176"/>
      <c r="C1" s="1176"/>
      <c r="D1" s="1176"/>
      <c r="E1" s="1176"/>
      <c r="F1" s="1176"/>
      <c r="G1" s="1176"/>
      <c r="H1" s="1176"/>
      <c r="I1" s="1176"/>
      <c r="J1" s="1176"/>
      <c r="K1" s="1176"/>
      <c r="L1" s="1176"/>
      <c r="M1" s="1176"/>
      <c r="N1" s="1176"/>
      <c r="O1" s="1176"/>
      <c r="P1" s="1176"/>
      <c r="Q1" s="1176"/>
      <c r="R1" s="1176"/>
      <c r="S1" s="1176"/>
      <c r="T1" s="1176"/>
      <c r="U1" s="1176"/>
      <c r="V1" s="1176"/>
      <c r="W1" s="1176"/>
      <c r="X1" s="1176"/>
      <c r="Y1" s="1176"/>
    </row>
    <row r="3" spans="1:25" ht="18" customHeight="1">
      <c r="A3" s="1109" t="s">
        <v>336</v>
      </c>
      <c r="B3" s="1109"/>
      <c r="C3" s="1109"/>
      <c r="D3" s="1109"/>
      <c r="E3" s="1109"/>
      <c r="F3" s="1109"/>
      <c r="G3" s="1109"/>
      <c r="H3" s="1109"/>
      <c r="I3" s="1109"/>
      <c r="J3" s="1109"/>
      <c r="K3" s="1109"/>
      <c r="L3" s="1109"/>
      <c r="M3" s="1109"/>
      <c r="N3" s="1109"/>
      <c r="O3" s="1109"/>
      <c r="P3" s="1109"/>
      <c r="Q3" s="1109"/>
      <c r="R3" s="1109"/>
      <c r="S3" s="1109"/>
      <c r="T3" s="1109"/>
      <c r="U3" s="1109"/>
      <c r="V3" s="1109"/>
      <c r="W3" s="1109"/>
      <c r="X3" s="1109"/>
      <c r="Y3" s="1114"/>
    </row>
    <row r="4" spans="1:25" ht="18" customHeight="1">
      <c r="A4" s="1111" t="s">
        <v>778</v>
      </c>
      <c r="B4" s="1107"/>
      <c r="C4" s="1107"/>
      <c r="D4" s="1107"/>
      <c r="E4" s="1107"/>
      <c r="F4" s="1107"/>
      <c r="G4" s="1107"/>
      <c r="H4" s="1107"/>
      <c r="I4" s="1107"/>
      <c r="J4" s="1107"/>
      <c r="K4" s="1107"/>
      <c r="L4" s="1107"/>
      <c r="M4" s="1107"/>
      <c r="N4" s="1107"/>
      <c r="O4" s="1107"/>
      <c r="P4" s="1107"/>
      <c r="Q4" s="1107"/>
      <c r="R4" s="1107"/>
      <c r="S4" s="1107"/>
      <c r="T4" s="1107"/>
      <c r="U4" s="1107"/>
      <c r="V4" s="1107"/>
      <c r="W4" s="1107"/>
      <c r="X4" s="1107"/>
      <c r="Y4" s="1107"/>
    </row>
    <row r="5" spans="16:25" s="5" customFormat="1" ht="18" customHeight="1">
      <c r="P5" s="17"/>
      <c r="Q5" s="17"/>
      <c r="R5" s="17"/>
      <c r="T5" s="391"/>
      <c r="Y5" s="473"/>
    </row>
    <row r="6" spans="1:25" ht="18" customHeight="1">
      <c r="A6" s="5" t="s">
        <v>337</v>
      </c>
      <c r="B6" s="290">
        <v>2000</v>
      </c>
      <c r="C6" s="290">
        <v>2001</v>
      </c>
      <c r="D6" s="290">
        <v>2002</v>
      </c>
      <c r="E6" s="290">
        <v>2003</v>
      </c>
      <c r="F6" s="290">
        <v>2004</v>
      </c>
      <c r="G6" s="290">
        <v>2005</v>
      </c>
      <c r="H6" s="290">
        <v>2006</v>
      </c>
      <c r="I6" s="290">
        <v>2007</v>
      </c>
      <c r="J6" s="290">
        <v>2008</v>
      </c>
      <c r="K6" s="290">
        <v>2009</v>
      </c>
      <c r="L6" s="290">
        <v>2010</v>
      </c>
      <c r="M6" s="290">
        <v>2011</v>
      </c>
      <c r="N6" s="290">
        <v>2012</v>
      </c>
      <c r="O6" s="290">
        <v>2013</v>
      </c>
      <c r="P6" s="290">
        <v>2014</v>
      </c>
      <c r="Q6" s="290">
        <v>2015</v>
      </c>
      <c r="R6" s="290">
        <v>2016</v>
      </c>
      <c r="S6" s="290">
        <v>2017</v>
      </c>
      <c r="T6" s="381">
        <v>2018</v>
      </c>
      <c r="U6" s="290">
        <v>2019</v>
      </c>
      <c r="V6" s="290" t="s">
        <v>725</v>
      </c>
      <c r="W6" s="290" t="s">
        <v>841</v>
      </c>
      <c r="X6" s="290">
        <v>2022</v>
      </c>
      <c r="Y6" s="463">
        <v>2023</v>
      </c>
    </row>
    <row r="7" spans="1:25" s="5" customFormat="1" ht="18" customHeight="1">
      <c r="A7" s="491" t="s">
        <v>338</v>
      </c>
      <c r="B7" s="492">
        <f aca="true" t="shared" si="0" ref="B7:Y7">SUM(B8,B19,B30,B41,B51)</f>
        <v>2855</v>
      </c>
      <c r="C7" s="492">
        <f t="shared" si="0"/>
        <v>3314</v>
      </c>
      <c r="D7" s="492">
        <f t="shared" si="0"/>
        <v>2955</v>
      </c>
      <c r="E7" s="492">
        <f t="shared" si="0"/>
        <v>3036</v>
      </c>
      <c r="F7" s="492">
        <f t="shared" si="0"/>
        <v>3092</v>
      </c>
      <c r="G7" s="492">
        <f t="shared" si="0"/>
        <v>2949</v>
      </c>
      <c r="H7" s="492">
        <f t="shared" si="0"/>
        <v>2876</v>
      </c>
      <c r="I7" s="492">
        <f t="shared" si="0"/>
        <v>2701</v>
      </c>
      <c r="J7" s="492">
        <f t="shared" si="0"/>
        <v>2836</v>
      </c>
      <c r="K7" s="492">
        <f t="shared" si="0"/>
        <v>2660</v>
      </c>
      <c r="L7" s="492">
        <f t="shared" si="0"/>
        <v>2263</v>
      </c>
      <c r="M7" s="492">
        <f t="shared" si="0"/>
        <v>1240</v>
      </c>
      <c r="N7" s="492">
        <f t="shared" si="0"/>
        <v>3378</v>
      </c>
      <c r="O7" s="492">
        <f t="shared" si="0"/>
        <v>3360</v>
      </c>
      <c r="P7" s="492">
        <f t="shared" si="0"/>
        <v>3559</v>
      </c>
      <c r="Q7" s="492">
        <f t="shared" si="0"/>
        <v>3638</v>
      </c>
      <c r="R7" s="492">
        <f t="shared" si="0"/>
        <v>3570</v>
      </c>
      <c r="S7" s="492">
        <f t="shared" si="0"/>
        <v>3932</v>
      </c>
      <c r="T7" s="493">
        <f>SUM(T8,T19,T30,T41,T51)</f>
        <v>3760</v>
      </c>
      <c r="U7" s="492">
        <f>SUM(U8,U19,U30,U41,U51)</f>
        <v>3985</v>
      </c>
      <c r="V7" s="492">
        <f>SUM(V8,V19,V30,V41,V51)</f>
        <v>887</v>
      </c>
      <c r="W7" s="492">
        <f>SUM(W8,W19,W30,W41,W51)</f>
        <v>249</v>
      </c>
      <c r="X7" s="492">
        <f>SUM(X8,X19,X30,X41,X51)</f>
        <v>2718</v>
      </c>
      <c r="Y7" s="936">
        <f t="shared" si="0"/>
        <v>2598</v>
      </c>
    </row>
    <row r="8" spans="1:25" ht="18" customHeight="1">
      <c r="A8" s="183" t="s">
        <v>339</v>
      </c>
      <c r="B8" s="192">
        <f aca="true" t="shared" si="1" ref="B8:K8">SUM(B9:B15)</f>
        <v>306</v>
      </c>
      <c r="C8" s="192">
        <f t="shared" si="1"/>
        <v>419</v>
      </c>
      <c r="D8" s="192">
        <f t="shared" si="1"/>
        <v>219</v>
      </c>
      <c r="E8" s="192">
        <f t="shared" si="1"/>
        <v>242</v>
      </c>
      <c r="F8" s="192">
        <f t="shared" si="1"/>
        <v>295</v>
      </c>
      <c r="G8" s="192">
        <f t="shared" si="1"/>
        <v>308</v>
      </c>
      <c r="H8" s="192">
        <f t="shared" si="1"/>
        <v>328</v>
      </c>
      <c r="I8" s="192">
        <f t="shared" si="1"/>
        <v>292</v>
      </c>
      <c r="J8" s="192">
        <f t="shared" si="1"/>
        <v>279</v>
      </c>
      <c r="K8" s="192">
        <f t="shared" si="1"/>
        <v>236</v>
      </c>
      <c r="L8" s="192">
        <f aca="true" t="shared" si="2" ref="L8:Y8">SUM(L9:L18)</f>
        <v>244</v>
      </c>
      <c r="M8" s="192">
        <f t="shared" si="2"/>
        <v>262</v>
      </c>
      <c r="N8" s="192">
        <f t="shared" si="2"/>
        <v>259</v>
      </c>
      <c r="O8" s="192">
        <f t="shared" si="2"/>
        <v>252</v>
      </c>
      <c r="P8" s="192">
        <f t="shared" si="2"/>
        <v>238</v>
      </c>
      <c r="Q8" s="192">
        <f t="shared" si="2"/>
        <v>239</v>
      </c>
      <c r="R8" s="192">
        <f t="shared" si="2"/>
        <v>271</v>
      </c>
      <c r="S8" s="192">
        <f t="shared" si="2"/>
        <v>274</v>
      </c>
      <c r="T8" s="382">
        <f>SUM(T9:T18)</f>
        <v>273</v>
      </c>
      <c r="U8" s="192">
        <f>SUM(U9:U18)</f>
        <v>276</v>
      </c>
      <c r="V8" s="192">
        <f>SUM(V9:V18)</f>
        <v>32</v>
      </c>
      <c r="W8" s="192">
        <f>SUM(W9:W18)</f>
        <v>22</v>
      </c>
      <c r="X8" s="192">
        <f>SUM(X9:X18)</f>
        <v>197</v>
      </c>
      <c r="Y8" s="482">
        <f t="shared" si="2"/>
        <v>262</v>
      </c>
    </row>
    <row r="9" spans="1:25" ht="18" customHeight="1">
      <c r="A9" s="179" t="s">
        <v>340</v>
      </c>
      <c r="B9" s="181">
        <v>129</v>
      </c>
      <c r="C9" s="181">
        <v>160</v>
      </c>
      <c r="D9" s="181">
        <v>151</v>
      </c>
      <c r="E9" s="181">
        <v>135</v>
      </c>
      <c r="F9" s="181">
        <v>177</v>
      </c>
      <c r="G9" s="181">
        <v>164</v>
      </c>
      <c r="H9" s="181">
        <v>167</v>
      </c>
      <c r="I9" s="181">
        <v>161</v>
      </c>
      <c r="J9" s="181">
        <v>178</v>
      </c>
      <c r="K9" s="181">
        <v>158</v>
      </c>
      <c r="L9" s="181">
        <v>156</v>
      </c>
      <c r="M9" s="181">
        <v>165</v>
      </c>
      <c r="N9" s="181">
        <v>165</v>
      </c>
      <c r="O9" s="170">
        <v>158</v>
      </c>
      <c r="P9" s="170">
        <v>152</v>
      </c>
      <c r="Q9" s="170">
        <v>160</v>
      </c>
      <c r="R9" s="170">
        <v>171</v>
      </c>
      <c r="S9" s="181">
        <v>182</v>
      </c>
      <c r="T9" s="383">
        <v>186</v>
      </c>
      <c r="U9" s="181">
        <v>188</v>
      </c>
      <c r="V9" s="181">
        <v>19</v>
      </c>
      <c r="W9" s="181">
        <v>22</v>
      </c>
      <c r="X9" s="181">
        <v>154</v>
      </c>
      <c r="Y9" s="465">
        <v>193</v>
      </c>
    </row>
    <row r="10" spans="1:25" ht="18" customHeight="1">
      <c r="A10" s="179" t="s">
        <v>341</v>
      </c>
      <c r="B10" s="181">
        <v>177</v>
      </c>
      <c r="C10" s="181">
        <v>259</v>
      </c>
      <c r="D10" s="181">
        <v>68</v>
      </c>
      <c r="E10" s="181">
        <v>107</v>
      </c>
      <c r="F10" s="181">
        <v>102</v>
      </c>
      <c r="G10" s="181">
        <v>127</v>
      </c>
      <c r="H10" s="181">
        <v>146</v>
      </c>
      <c r="I10" s="181">
        <v>125</v>
      </c>
      <c r="J10" s="181">
        <v>99</v>
      </c>
      <c r="K10" s="181">
        <v>64</v>
      </c>
      <c r="L10" s="181">
        <v>75</v>
      </c>
      <c r="M10" s="181">
        <v>84</v>
      </c>
      <c r="N10" s="181">
        <v>89</v>
      </c>
      <c r="O10" s="170">
        <v>75</v>
      </c>
      <c r="P10" s="170">
        <v>78</v>
      </c>
      <c r="Q10" s="170">
        <v>69</v>
      </c>
      <c r="R10" s="170">
        <v>76</v>
      </c>
      <c r="S10" s="181">
        <v>53</v>
      </c>
      <c r="T10" s="383">
        <v>70</v>
      </c>
      <c r="U10" s="181">
        <v>72</v>
      </c>
      <c r="V10" s="181">
        <v>12</v>
      </c>
      <c r="W10" s="182" t="s">
        <v>90</v>
      </c>
      <c r="X10" s="182">
        <v>43</v>
      </c>
      <c r="Y10" s="937">
        <v>61</v>
      </c>
    </row>
    <row r="11" spans="1:25" ht="18" customHeight="1">
      <c r="A11" s="179" t="s">
        <v>343</v>
      </c>
      <c r="B11" s="181" t="s">
        <v>90</v>
      </c>
      <c r="C11" s="181" t="s">
        <v>90</v>
      </c>
      <c r="D11" s="181" t="s">
        <v>90</v>
      </c>
      <c r="E11" s="181" t="s">
        <v>90</v>
      </c>
      <c r="F11" s="181" t="s">
        <v>90</v>
      </c>
      <c r="G11" s="181" t="s">
        <v>90</v>
      </c>
      <c r="H11" s="181" t="s">
        <v>90</v>
      </c>
      <c r="I11" s="181" t="s">
        <v>90</v>
      </c>
      <c r="J11" s="181">
        <v>1</v>
      </c>
      <c r="K11" s="181" t="s">
        <v>90</v>
      </c>
      <c r="L11" s="181">
        <v>7</v>
      </c>
      <c r="M11" s="181">
        <v>11</v>
      </c>
      <c r="N11" s="181">
        <v>4</v>
      </c>
      <c r="O11" s="170">
        <v>10</v>
      </c>
      <c r="P11" s="170">
        <v>1</v>
      </c>
      <c r="Q11" s="170">
        <v>3</v>
      </c>
      <c r="R11" s="210" t="s">
        <v>90</v>
      </c>
      <c r="S11" s="182">
        <v>6</v>
      </c>
      <c r="T11" s="490">
        <v>13</v>
      </c>
      <c r="U11" s="182">
        <v>9</v>
      </c>
      <c r="V11" s="182">
        <v>1</v>
      </c>
      <c r="W11" s="182" t="s">
        <v>90</v>
      </c>
      <c r="X11" s="182" t="s">
        <v>90</v>
      </c>
      <c r="Y11" s="937">
        <v>4</v>
      </c>
    </row>
    <row r="12" spans="1:25" ht="18" customHeight="1">
      <c r="A12" s="179" t="s">
        <v>342</v>
      </c>
      <c r="B12" s="181" t="s">
        <v>90</v>
      </c>
      <c r="C12" s="181" t="s">
        <v>90</v>
      </c>
      <c r="D12" s="181" t="s">
        <v>90</v>
      </c>
      <c r="E12" s="181" t="s">
        <v>90</v>
      </c>
      <c r="F12" s="181" t="s">
        <v>90</v>
      </c>
      <c r="G12" s="181" t="s">
        <v>90</v>
      </c>
      <c r="H12" s="181" t="s">
        <v>90</v>
      </c>
      <c r="I12" s="181" t="s">
        <v>90</v>
      </c>
      <c r="J12" s="181">
        <v>1</v>
      </c>
      <c r="K12" s="181">
        <v>12</v>
      </c>
      <c r="L12" s="181" t="s">
        <v>90</v>
      </c>
      <c r="M12" s="181">
        <v>1</v>
      </c>
      <c r="N12" s="210" t="s">
        <v>90</v>
      </c>
      <c r="O12" s="210" t="s">
        <v>90</v>
      </c>
      <c r="P12" s="210" t="s">
        <v>90</v>
      </c>
      <c r="Q12" s="210" t="s">
        <v>90</v>
      </c>
      <c r="R12" s="210">
        <v>16</v>
      </c>
      <c r="S12" s="182">
        <v>13</v>
      </c>
      <c r="T12" s="490" t="s">
        <v>90</v>
      </c>
      <c r="U12" s="182" t="s">
        <v>90</v>
      </c>
      <c r="V12" s="182" t="s">
        <v>90</v>
      </c>
      <c r="W12" s="182" t="s">
        <v>90</v>
      </c>
      <c r="X12" s="182" t="s">
        <v>90</v>
      </c>
      <c r="Y12" s="937" t="s">
        <v>90</v>
      </c>
    </row>
    <row r="13" spans="1:25" ht="18" customHeight="1">
      <c r="A13" s="179" t="s">
        <v>354</v>
      </c>
      <c r="B13" s="181" t="s">
        <v>90</v>
      </c>
      <c r="C13" s="181" t="s">
        <v>90</v>
      </c>
      <c r="D13" s="181" t="s">
        <v>90</v>
      </c>
      <c r="E13" s="181" t="s">
        <v>90</v>
      </c>
      <c r="F13" s="181" t="s">
        <v>90</v>
      </c>
      <c r="G13" s="181" t="s">
        <v>90</v>
      </c>
      <c r="H13" s="181" t="s">
        <v>90</v>
      </c>
      <c r="I13" s="181" t="s">
        <v>90</v>
      </c>
      <c r="J13" s="181" t="s">
        <v>90</v>
      </c>
      <c r="K13" s="181" t="s">
        <v>90</v>
      </c>
      <c r="L13" s="181" t="s">
        <v>90</v>
      </c>
      <c r="M13" s="181" t="s">
        <v>90</v>
      </c>
      <c r="N13" s="181" t="s">
        <v>90</v>
      </c>
      <c r="O13" s="181" t="s">
        <v>90</v>
      </c>
      <c r="P13" s="181" t="s">
        <v>90</v>
      </c>
      <c r="Q13" s="181" t="s">
        <v>90</v>
      </c>
      <c r="R13" s="181" t="s">
        <v>90</v>
      </c>
      <c r="S13" s="182">
        <v>14</v>
      </c>
      <c r="T13" s="490" t="s">
        <v>90</v>
      </c>
      <c r="U13" s="182" t="s">
        <v>90</v>
      </c>
      <c r="V13" s="182" t="s">
        <v>90</v>
      </c>
      <c r="W13" s="182" t="s">
        <v>90</v>
      </c>
      <c r="X13" s="182" t="s">
        <v>90</v>
      </c>
      <c r="Y13" s="937" t="s">
        <v>90</v>
      </c>
    </row>
    <row r="14" spans="1:25" ht="18" customHeight="1">
      <c r="A14" s="179" t="s">
        <v>344</v>
      </c>
      <c r="B14" s="181" t="s">
        <v>90</v>
      </c>
      <c r="C14" s="181" t="s">
        <v>90</v>
      </c>
      <c r="D14" s="181" t="s">
        <v>90</v>
      </c>
      <c r="E14" s="181" t="s">
        <v>90</v>
      </c>
      <c r="F14" s="181">
        <v>1</v>
      </c>
      <c r="G14" s="181">
        <v>2</v>
      </c>
      <c r="H14" s="181">
        <v>1</v>
      </c>
      <c r="I14" s="181" t="s">
        <v>90</v>
      </c>
      <c r="J14" s="181" t="s">
        <v>90</v>
      </c>
      <c r="K14" s="181">
        <v>2</v>
      </c>
      <c r="L14" s="181" t="s">
        <v>90</v>
      </c>
      <c r="M14" s="181" t="s">
        <v>90</v>
      </c>
      <c r="N14" s="181" t="s">
        <v>90</v>
      </c>
      <c r="O14" s="181" t="s">
        <v>90</v>
      </c>
      <c r="P14" s="181" t="s">
        <v>90</v>
      </c>
      <c r="Q14" s="182" t="s">
        <v>90</v>
      </c>
      <c r="R14" s="182" t="s">
        <v>90</v>
      </c>
      <c r="S14" s="182" t="s">
        <v>90</v>
      </c>
      <c r="T14" s="490" t="s">
        <v>90</v>
      </c>
      <c r="U14" s="182" t="s">
        <v>90</v>
      </c>
      <c r="V14" s="182" t="s">
        <v>90</v>
      </c>
      <c r="W14" s="182" t="s">
        <v>90</v>
      </c>
      <c r="X14" s="182" t="s">
        <v>90</v>
      </c>
      <c r="Y14" s="937" t="s">
        <v>90</v>
      </c>
    </row>
    <row r="15" spans="1:25" ht="18" customHeight="1">
      <c r="A15" s="179" t="s">
        <v>345</v>
      </c>
      <c r="B15" s="181" t="s">
        <v>90</v>
      </c>
      <c r="C15" s="181" t="s">
        <v>90</v>
      </c>
      <c r="D15" s="181" t="s">
        <v>90</v>
      </c>
      <c r="E15" s="181" t="s">
        <v>90</v>
      </c>
      <c r="F15" s="181">
        <v>15</v>
      </c>
      <c r="G15" s="181">
        <v>15</v>
      </c>
      <c r="H15" s="181">
        <v>14</v>
      </c>
      <c r="I15" s="181">
        <v>6</v>
      </c>
      <c r="J15" s="181" t="s">
        <v>90</v>
      </c>
      <c r="K15" s="181" t="s">
        <v>90</v>
      </c>
      <c r="L15" s="181" t="s">
        <v>90</v>
      </c>
      <c r="M15" s="181" t="s">
        <v>90</v>
      </c>
      <c r="N15" s="181" t="s">
        <v>90</v>
      </c>
      <c r="O15" s="181" t="s">
        <v>90</v>
      </c>
      <c r="P15" s="181">
        <v>7</v>
      </c>
      <c r="Q15" s="181">
        <v>7</v>
      </c>
      <c r="R15" s="181">
        <v>6</v>
      </c>
      <c r="S15" s="181">
        <v>2</v>
      </c>
      <c r="T15" s="490" t="s">
        <v>90</v>
      </c>
      <c r="U15" s="182">
        <v>1</v>
      </c>
      <c r="V15" s="182" t="s">
        <v>90</v>
      </c>
      <c r="W15" s="182" t="s">
        <v>90</v>
      </c>
      <c r="X15" s="182" t="s">
        <v>90</v>
      </c>
      <c r="Y15" s="937" t="s">
        <v>90</v>
      </c>
    </row>
    <row r="16" spans="1:25" ht="18" customHeight="1">
      <c r="A16" s="179" t="s">
        <v>346</v>
      </c>
      <c r="B16" s="181" t="s">
        <v>90</v>
      </c>
      <c r="C16" s="181" t="s">
        <v>90</v>
      </c>
      <c r="D16" s="181" t="s">
        <v>90</v>
      </c>
      <c r="E16" s="181" t="s">
        <v>90</v>
      </c>
      <c r="F16" s="181" t="s">
        <v>90</v>
      </c>
      <c r="G16" s="181" t="s">
        <v>90</v>
      </c>
      <c r="H16" s="181" t="s">
        <v>90</v>
      </c>
      <c r="I16" s="181" t="s">
        <v>90</v>
      </c>
      <c r="J16" s="181" t="s">
        <v>90</v>
      </c>
      <c r="K16" s="181" t="s">
        <v>90</v>
      </c>
      <c r="L16" s="181">
        <v>1</v>
      </c>
      <c r="M16" s="181" t="s">
        <v>90</v>
      </c>
      <c r="N16" s="181" t="s">
        <v>90</v>
      </c>
      <c r="O16" s="181" t="s">
        <v>90</v>
      </c>
      <c r="P16" s="181" t="s">
        <v>90</v>
      </c>
      <c r="Q16" s="182" t="s">
        <v>90</v>
      </c>
      <c r="R16" s="182">
        <v>1</v>
      </c>
      <c r="S16" s="182" t="s">
        <v>90</v>
      </c>
      <c r="T16" s="490">
        <v>1</v>
      </c>
      <c r="U16" s="182" t="s">
        <v>90</v>
      </c>
      <c r="V16" s="182" t="s">
        <v>90</v>
      </c>
      <c r="W16" s="182" t="s">
        <v>90</v>
      </c>
      <c r="X16" s="182" t="s">
        <v>90</v>
      </c>
      <c r="Y16" s="937" t="s">
        <v>90</v>
      </c>
    </row>
    <row r="17" spans="1:25" ht="18" customHeight="1">
      <c r="A17" s="179" t="s">
        <v>518</v>
      </c>
      <c r="B17" s="182" t="s">
        <v>90</v>
      </c>
      <c r="C17" s="182" t="s">
        <v>90</v>
      </c>
      <c r="D17" s="182" t="s">
        <v>90</v>
      </c>
      <c r="E17" s="182" t="s">
        <v>90</v>
      </c>
      <c r="F17" s="182" t="s">
        <v>90</v>
      </c>
      <c r="G17" s="182" t="s">
        <v>90</v>
      </c>
      <c r="H17" s="182" t="s">
        <v>90</v>
      </c>
      <c r="I17" s="182" t="s">
        <v>90</v>
      </c>
      <c r="J17" s="182" t="s">
        <v>90</v>
      </c>
      <c r="K17" s="182" t="s">
        <v>90</v>
      </c>
      <c r="L17" s="182" t="s">
        <v>90</v>
      </c>
      <c r="M17" s="182" t="s">
        <v>90</v>
      </c>
      <c r="N17" s="182" t="s">
        <v>90</v>
      </c>
      <c r="O17" s="182" t="s">
        <v>90</v>
      </c>
      <c r="P17" s="182" t="s">
        <v>90</v>
      </c>
      <c r="Q17" s="182" t="s">
        <v>90</v>
      </c>
      <c r="R17" s="182" t="s">
        <v>90</v>
      </c>
      <c r="S17" s="182" t="s">
        <v>90</v>
      </c>
      <c r="T17" s="182" t="s">
        <v>90</v>
      </c>
      <c r="U17" s="182" t="s">
        <v>90</v>
      </c>
      <c r="V17" s="182" t="s">
        <v>90</v>
      </c>
      <c r="W17" s="182" t="s">
        <v>90</v>
      </c>
      <c r="X17" s="182" t="s">
        <v>90</v>
      </c>
      <c r="Y17" s="937">
        <v>2</v>
      </c>
    </row>
    <row r="18" spans="1:25" ht="18" customHeight="1">
      <c r="A18" s="179" t="s">
        <v>578</v>
      </c>
      <c r="B18" s="181" t="s">
        <v>90</v>
      </c>
      <c r="C18" s="181" t="s">
        <v>90</v>
      </c>
      <c r="D18" s="181" t="s">
        <v>90</v>
      </c>
      <c r="E18" s="181" t="s">
        <v>90</v>
      </c>
      <c r="F18" s="181" t="s">
        <v>90</v>
      </c>
      <c r="G18" s="181" t="s">
        <v>90</v>
      </c>
      <c r="H18" s="181" t="s">
        <v>90</v>
      </c>
      <c r="I18" s="181" t="s">
        <v>90</v>
      </c>
      <c r="J18" s="181" t="s">
        <v>90</v>
      </c>
      <c r="K18" s="181" t="s">
        <v>90</v>
      </c>
      <c r="L18" s="181">
        <v>5</v>
      </c>
      <c r="M18" s="181">
        <v>1</v>
      </c>
      <c r="N18" s="181">
        <v>1</v>
      </c>
      <c r="O18" s="181">
        <v>9</v>
      </c>
      <c r="P18" s="182" t="s">
        <v>90</v>
      </c>
      <c r="Q18" s="182" t="s">
        <v>90</v>
      </c>
      <c r="R18" s="182">
        <v>1</v>
      </c>
      <c r="S18" s="182">
        <v>4</v>
      </c>
      <c r="T18" s="490">
        <v>3</v>
      </c>
      <c r="U18" s="182">
        <v>6</v>
      </c>
      <c r="V18" s="182" t="s">
        <v>90</v>
      </c>
      <c r="W18" s="182" t="s">
        <v>90</v>
      </c>
      <c r="X18" s="182" t="s">
        <v>90</v>
      </c>
      <c r="Y18" s="937">
        <v>2</v>
      </c>
    </row>
    <row r="19" spans="1:25" ht="18" customHeight="1">
      <c r="A19" s="183" t="s">
        <v>347</v>
      </c>
      <c r="B19" s="192">
        <f aca="true" t="shared" si="3" ref="B19:K19">SUM(B20:B27)</f>
        <v>459</v>
      </c>
      <c r="C19" s="192">
        <f t="shared" si="3"/>
        <v>557</v>
      </c>
      <c r="D19" s="192">
        <f t="shared" si="3"/>
        <v>540</v>
      </c>
      <c r="E19" s="192">
        <f t="shared" si="3"/>
        <v>568</v>
      </c>
      <c r="F19" s="192">
        <f t="shared" si="3"/>
        <v>581</v>
      </c>
      <c r="G19" s="192">
        <f t="shared" si="3"/>
        <v>537</v>
      </c>
      <c r="H19" s="192">
        <f t="shared" si="3"/>
        <v>431</v>
      </c>
      <c r="I19" s="192">
        <f t="shared" si="3"/>
        <v>433</v>
      </c>
      <c r="J19" s="192">
        <f t="shared" si="3"/>
        <v>471</v>
      </c>
      <c r="K19" s="192">
        <f t="shared" si="3"/>
        <v>460</v>
      </c>
      <c r="L19" s="192">
        <f>SUM(L20:L28)</f>
        <v>366</v>
      </c>
      <c r="M19" s="192">
        <f>SUM(M20:M28)</f>
        <v>446</v>
      </c>
      <c r="N19" s="192">
        <f>SUM(N20:N28)</f>
        <v>431</v>
      </c>
      <c r="O19" s="192">
        <f>SUM(O20:O28)</f>
        <v>422</v>
      </c>
      <c r="P19" s="192">
        <f aca="true" t="shared" si="4" ref="P19:Y19">SUM(P20:P29)</f>
        <v>318</v>
      </c>
      <c r="Q19" s="192">
        <f t="shared" si="4"/>
        <v>455</v>
      </c>
      <c r="R19" s="192">
        <f t="shared" si="4"/>
        <v>363</v>
      </c>
      <c r="S19" s="192">
        <f t="shared" si="4"/>
        <v>422</v>
      </c>
      <c r="T19" s="382">
        <f t="shared" si="4"/>
        <v>413</v>
      </c>
      <c r="U19" s="192">
        <f>SUM(U20:U29)</f>
        <v>443</v>
      </c>
      <c r="V19" s="192">
        <f>SUM(V20:V29)</f>
        <v>131</v>
      </c>
      <c r="W19" s="192">
        <f>SUM(W20:W29)</f>
        <v>65</v>
      </c>
      <c r="X19" s="192">
        <f>SUM(X20:X29)</f>
        <v>440</v>
      </c>
      <c r="Y19" s="482">
        <f t="shared" si="4"/>
        <v>338</v>
      </c>
    </row>
    <row r="20" spans="1:25" ht="18" customHeight="1">
      <c r="A20" s="179" t="s">
        <v>348</v>
      </c>
      <c r="B20" s="181">
        <v>172</v>
      </c>
      <c r="C20" s="181">
        <v>210</v>
      </c>
      <c r="D20" s="181">
        <v>219</v>
      </c>
      <c r="E20" s="181">
        <v>138</v>
      </c>
      <c r="F20" s="181">
        <v>134</v>
      </c>
      <c r="G20" s="181">
        <v>173</v>
      </c>
      <c r="H20" s="181">
        <v>175</v>
      </c>
      <c r="I20" s="181">
        <v>157</v>
      </c>
      <c r="J20" s="181">
        <v>158</v>
      </c>
      <c r="K20" s="181">
        <v>139</v>
      </c>
      <c r="L20" s="181">
        <v>95</v>
      </c>
      <c r="M20" s="181">
        <v>156</v>
      </c>
      <c r="N20" s="181">
        <v>143</v>
      </c>
      <c r="O20" s="170">
        <v>158</v>
      </c>
      <c r="P20" s="170">
        <v>111</v>
      </c>
      <c r="Q20" s="170">
        <v>124</v>
      </c>
      <c r="R20" s="170">
        <v>93</v>
      </c>
      <c r="S20" s="181">
        <v>118</v>
      </c>
      <c r="T20" s="383">
        <v>128</v>
      </c>
      <c r="U20" s="181">
        <v>128</v>
      </c>
      <c r="V20" s="181">
        <v>41</v>
      </c>
      <c r="W20" s="182" t="s">
        <v>90</v>
      </c>
      <c r="X20" s="182">
        <v>111</v>
      </c>
      <c r="Y20" s="937">
        <v>128</v>
      </c>
    </row>
    <row r="21" spans="1:25" ht="18" customHeight="1">
      <c r="A21" s="179" t="s">
        <v>342</v>
      </c>
      <c r="B21" s="181">
        <v>181</v>
      </c>
      <c r="C21" s="181">
        <v>214</v>
      </c>
      <c r="D21" s="181">
        <v>259</v>
      </c>
      <c r="E21" s="181">
        <v>303</v>
      </c>
      <c r="F21" s="181">
        <v>252</v>
      </c>
      <c r="G21" s="181">
        <v>191</v>
      </c>
      <c r="H21" s="181">
        <v>136</v>
      </c>
      <c r="I21" s="181">
        <v>167</v>
      </c>
      <c r="J21" s="181">
        <v>183</v>
      </c>
      <c r="K21" s="181">
        <v>139</v>
      </c>
      <c r="L21" s="181">
        <v>82</v>
      </c>
      <c r="M21" s="181">
        <v>97</v>
      </c>
      <c r="N21" s="181">
        <v>146</v>
      </c>
      <c r="O21" s="170">
        <v>112</v>
      </c>
      <c r="P21" s="170">
        <v>109</v>
      </c>
      <c r="Q21" s="170">
        <v>147</v>
      </c>
      <c r="R21" s="170">
        <v>109</v>
      </c>
      <c r="S21" s="181">
        <v>117</v>
      </c>
      <c r="T21" s="383">
        <v>130</v>
      </c>
      <c r="U21" s="181">
        <v>130</v>
      </c>
      <c r="V21" s="181">
        <v>45</v>
      </c>
      <c r="W21" s="181">
        <v>40</v>
      </c>
      <c r="X21" s="181">
        <v>139</v>
      </c>
      <c r="Y21" s="465">
        <v>112</v>
      </c>
    </row>
    <row r="22" spans="1:25" ht="18" customHeight="1">
      <c r="A22" s="179" t="s">
        <v>343</v>
      </c>
      <c r="B22" s="181" t="s">
        <v>90</v>
      </c>
      <c r="C22" s="181" t="s">
        <v>90</v>
      </c>
      <c r="D22" s="181" t="s">
        <v>90</v>
      </c>
      <c r="E22" s="181" t="s">
        <v>90</v>
      </c>
      <c r="F22" s="181" t="s">
        <v>90</v>
      </c>
      <c r="G22" s="181" t="s">
        <v>90</v>
      </c>
      <c r="H22" s="181" t="s">
        <v>90</v>
      </c>
      <c r="I22" s="181" t="s">
        <v>90</v>
      </c>
      <c r="J22" s="181" t="s">
        <v>90</v>
      </c>
      <c r="K22" s="181">
        <v>2</v>
      </c>
      <c r="L22" s="181">
        <v>2</v>
      </c>
      <c r="M22" s="181">
        <v>1</v>
      </c>
      <c r="N22" s="210" t="s">
        <v>90</v>
      </c>
      <c r="O22" s="210">
        <v>6</v>
      </c>
      <c r="P22" s="210">
        <v>4</v>
      </c>
      <c r="Q22" s="210">
        <v>4</v>
      </c>
      <c r="R22" s="210">
        <v>4</v>
      </c>
      <c r="S22" s="182">
        <v>5</v>
      </c>
      <c r="T22" s="490">
        <v>15</v>
      </c>
      <c r="U22" s="182">
        <v>11</v>
      </c>
      <c r="V22" s="182">
        <v>2</v>
      </c>
      <c r="W22" s="182" t="s">
        <v>90</v>
      </c>
      <c r="X22" s="182">
        <v>2</v>
      </c>
      <c r="Y22" s="937" t="s">
        <v>90</v>
      </c>
    </row>
    <row r="23" spans="1:25" ht="18" customHeight="1">
      <c r="A23" s="188" t="s">
        <v>341</v>
      </c>
      <c r="B23" s="181" t="s">
        <v>90</v>
      </c>
      <c r="C23" s="181" t="s">
        <v>90</v>
      </c>
      <c r="D23" s="181" t="s">
        <v>90</v>
      </c>
      <c r="E23" s="181" t="s">
        <v>90</v>
      </c>
      <c r="F23" s="181" t="s">
        <v>90</v>
      </c>
      <c r="G23" s="181" t="s">
        <v>90</v>
      </c>
      <c r="H23" s="181" t="s">
        <v>90</v>
      </c>
      <c r="I23" s="181" t="s">
        <v>90</v>
      </c>
      <c r="J23" s="181" t="s">
        <v>90</v>
      </c>
      <c r="K23" s="181" t="s">
        <v>90</v>
      </c>
      <c r="L23" s="181" t="s">
        <v>90</v>
      </c>
      <c r="M23" s="181" t="s">
        <v>90</v>
      </c>
      <c r="N23" s="181">
        <v>1</v>
      </c>
      <c r="O23" s="170">
        <v>1</v>
      </c>
      <c r="P23" s="170">
        <v>1</v>
      </c>
      <c r="Q23" s="210" t="s">
        <v>90</v>
      </c>
      <c r="R23" s="210" t="s">
        <v>90</v>
      </c>
      <c r="S23" s="182">
        <v>8</v>
      </c>
      <c r="T23" s="490" t="s">
        <v>90</v>
      </c>
      <c r="U23" s="182" t="s">
        <v>90</v>
      </c>
      <c r="V23" s="182" t="s">
        <v>90</v>
      </c>
      <c r="W23" s="182" t="s">
        <v>90</v>
      </c>
      <c r="X23" s="182">
        <v>1</v>
      </c>
      <c r="Y23" s="937">
        <v>2</v>
      </c>
    </row>
    <row r="24" spans="1:25" ht="18" customHeight="1">
      <c r="A24" s="188" t="s">
        <v>518</v>
      </c>
      <c r="B24" s="181" t="s">
        <v>90</v>
      </c>
      <c r="C24" s="181" t="s">
        <v>90</v>
      </c>
      <c r="D24" s="181" t="s">
        <v>90</v>
      </c>
      <c r="E24" s="181" t="s">
        <v>90</v>
      </c>
      <c r="F24" s="181" t="s">
        <v>90</v>
      </c>
      <c r="G24" s="181" t="s">
        <v>90</v>
      </c>
      <c r="H24" s="181" t="s">
        <v>90</v>
      </c>
      <c r="I24" s="181" t="s">
        <v>90</v>
      </c>
      <c r="J24" s="181" t="s">
        <v>90</v>
      </c>
      <c r="K24" s="181">
        <v>8</v>
      </c>
      <c r="L24" s="181" t="s">
        <v>90</v>
      </c>
      <c r="M24" s="181" t="s">
        <v>90</v>
      </c>
      <c r="N24" s="181" t="s">
        <v>90</v>
      </c>
      <c r="O24" s="170">
        <v>4</v>
      </c>
      <c r="P24" s="210" t="s">
        <v>90</v>
      </c>
      <c r="Q24" s="210">
        <v>4</v>
      </c>
      <c r="R24" s="210">
        <v>3</v>
      </c>
      <c r="S24" s="182">
        <v>6</v>
      </c>
      <c r="T24" s="490" t="s">
        <v>90</v>
      </c>
      <c r="U24" s="182">
        <v>1</v>
      </c>
      <c r="V24" s="182">
        <v>4</v>
      </c>
      <c r="W24" s="182" t="s">
        <v>90</v>
      </c>
      <c r="X24" s="182">
        <v>4</v>
      </c>
      <c r="Y24" s="937">
        <v>2</v>
      </c>
    </row>
    <row r="25" spans="1:25" ht="18" customHeight="1">
      <c r="A25" s="188" t="s">
        <v>579</v>
      </c>
      <c r="B25" s="181" t="s">
        <v>90</v>
      </c>
      <c r="C25" s="181" t="s">
        <v>90</v>
      </c>
      <c r="D25" s="181" t="s">
        <v>90</v>
      </c>
      <c r="E25" s="181" t="s">
        <v>90</v>
      </c>
      <c r="F25" s="181" t="s">
        <v>90</v>
      </c>
      <c r="G25" s="181" t="s">
        <v>90</v>
      </c>
      <c r="H25" s="181" t="s">
        <v>90</v>
      </c>
      <c r="I25" s="181" t="s">
        <v>90</v>
      </c>
      <c r="J25" s="181">
        <v>67</v>
      </c>
      <c r="K25" s="181">
        <v>37</v>
      </c>
      <c r="L25" s="181">
        <v>85</v>
      </c>
      <c r="M25" s="181">
        <v>33</v>
      </c>
      <c r="N25" s="181">
        <v>60</v>
      </c>
      <c r="O25" s="170">
        <v>53</v>
      </c>
      <c r="P25" s="170">
        <v>27</v>
      </c>
      <c r="Q25" s="170">
        <v>50</v>
      </c>
      <c r="R25" s="170">
        <v>16</v>
      </c>
      <c r="S25" s="181">
        <v>55</v>
      </c>
      <c r="T25" s="383">
        <v>53</v>
      </c>
      <c r="U25" s="181">
        <v>92</v>
      </c>
      <c r="V25" s="181">
        <v>9</v>
      </c>
      <c r="W25" s="182" t="s">
        <v>90</v>
      </c>
      <c r="X25" s="182">
        <v>52</v>
      </c>
      <c r="Y25" s="937">
        <v>23</v>
      </c>
    </row>
    <row r="26" spans="1:25" ht="18" customHeight="1">
      <c r="A26" s="179" t="s">
        <v>346</v>
      </c>
      <c r="B26" s="181">
        <v>106</v>
      </c>
      <c r="C26" s="181">
        <v>133</v>
      </c>
      <c r="D26" s="181">
        <v>62</v>
      </c>
      <c r="E26" s="181">
        <v>127</v>
      </c>
      <c r="F26" s="181">
        <v>128</v>
      </c>
      <c r="G26" s="181">
        <v>117</v>
      </c>
      <c r="H26" s="181">
        <v>64</v>
      </c>
      <c r="I26" s="181">
        <v>72</v>
      </c>
      <c r="J26" s="181">
        <v>6</v>
      </c>
      <c r="K26" s="181">
        <v>83</v>
      </c>
      <c r="L26" s="181">
        <v>35</v>
      </c>
      <c r="M26" s="181">
        <v>102</v>
      </c>
      <c r="N26" s="181">
        <v>34</v>
      </c>
      <c r="O26" s="170">
        <v>42</v>
      </c>
      <c r="P26" s="170">
        <v>7</v>
      </c>
      <c r="Q26" s="170">
        <v>58</v>
      </c>
      <c r="R26" s="170">
        <v>70</v>
      </c>
      <c r="S26" s="181">
        <v>59</v>
      </c>
      <c r="T26" s="490">
        <v>31</v>
      </c>
      <c r="U26" s="182">
        <v>32</v>
      </c>
      <c r="V26" s="182">
        <v>22</v>
      </c>
      <c r="W26" s="182" t="s">
        <v>90</v>
      </c>
      <c r="X26" s="182">
        <v>64</v>
      </c>
      <c r="Y26" s="937">
        <v>16</v>
      </c>
    </row>
    <row r="27" spans="1:25" ht="18" customHeight="1">
      <c r="A27" s="179" t="s">
        <v>345</v>
      </c>
      <c r="B27" s="181" t="s">
        <v>90</v>
      </c>
      <c r="C27" s="181" t="s">
        <v>90</v>
      </c>
      <c r="D27" s="181" t="s">
        <v>90</v>
      </c>
      <c r="E27" s="181" t="s">
        <v>90</v>
      </c>
      <c r="F27" s="181">
        <v>67</v>
      </c>
      <c r="G27" s="181">
        <v>56</v>
      </c>
      <c r="H27" s="181">
        <v>56</v>
      </c>
      <c r="I27" s="181">
        <v>37</v>
      </c>
      <c r="J27" s="181">
        <v>57</v>
      </c>
      <c r="K27" s="181">
        <v>52</v>
      </c>
      <c r="L27" s="181">
        <v>63</v>
      </c>
      <c r="M27" s="181">
        <v>57</v>
      </c>
      <c r="N27" s="181">
        <v>47</v>
      </c>
      <c r="O27" s="170">
        <v>46</v>
      </c>
      <c r="P27" s="170">
        <v>57</v>
      </c>
      <c r="Q27" s="170">
        <v>68</v>
      </c>
      <c r="R27" s="170">
        <v>68</v>
      </c>
      <c r="S27" s="181">
        <v>54</v>
      </c>
      <c r="T27" s="383">
        <v>52</v>
      </c>
      <c r="U27" s="181">
        <v>44</v>
      </c>
      <c r="V27" s="181">
        <v>6</v>
      </c>
      <c r="W27" s="181">
        <v>23</v>
      </c>
      <c r="X27" s="181">
        <v>65</v>
      </c>
      <c r="Y27" s="465">
        <v>53</v>
      </c>
    </row>
    <row r="28" spans="1:25" ht="18" customHeight="1">
      <c r="A28" s="188" t="s">
        <v>578</v>
      </c>
      <c r="B28" s="181" t="s">
        <v>90</v>
      </c>
      <c r="C28" s="181" t="s">
        <v>90</v>
      </c>
      <c r="D28" s="181" t="s">
        <v>90</v>
      </c>
      <c r="E28" s="181" t="s">
        <v>90</v>
      </c>
      <c r="F28" s="181" t="s">
        <v>90</v>
      </c>
      <c r="G28" s="181" t="s">
        <v>90</v>
      </c>
      <c r="H28" s="181" t="s">
        <v>90</v>
      </c>
      <c r="I28" s="181" t="s">
        <v>90</v>
      </c>
      <c r="J28" s="181" t="s">
        <v>90</v>
      </c>
      <c r="K28" s="181" t="s">
        <v>90</v>
      </c>
      <c r="L28" s="181">
        <v>4</v>
      </c>
      <c r="M28" s="210" t="s">
        <v>90</v>
      </c>
      <c r="N28" s="210" t="s">
        <v>90</v>
      </c>
      <c r="O28" s="210" t="s">
        <v>90</v>
      </c>
      <c r="P28" s="210" t="s">
        <v>90</v>
      </c>
      <c r="Q28" s="210" t="s">
        <v>90</v>
      </c>
      <c r="R28" s="210" t="s">
        <v>90</v>
      </c>
      <c r="S28" s="182" t="s">
        <v>90</v>
      </c>
      <c r="T28" s="490">
        <v>4</v>
      </c>
      <c r="U28" s="182">
        <v>5</v>
      </c>
      <c r="V28" s="182">
        <v>2</v>
      </c>
      <c r="W28" s="182">
        <v>2</v>
      </c>
      <c r="X28" s="182">
        <v>1</v>
      </c>
      <c r="Y28" s="937">
        <v>2</v>
      </c>
    </row>
    <row r="29" spans="1:25" ht="18" customHeight="1">
      <c r="A29" s="188" t="s">
        <v>349</v>
      </c>
      <c r="B29" s="181" t="s">
        <v>90</v>
      </c>
      <c r="C29" s="181" t="s">
        <v>90</v>
      </c>
      <c r="D29" s="181" t="s">
        <v>90</v>
      </c>
      <c r="E29" s="181" t="s">
        <v>90</v>
      </c>
      <c r="F29" s="181" t="s">
        <v>90</v>
      </c>
      <c r="G29" s="181" t="s">
        <v>90</v>
      </c>
      <c r="H29" s="181" t="s">
        <v>90</v>
      </c>
      <c r="I29" s="181" t="s">
        <v>90</v>
      </c>
      <c r="J29" s="181" t="s">
        <v>90</v>
      </c>
      <c r="K29" s="181" t="s">
        <v>90</v>
      </c>
      <c r="L29" s="181" t="s">
        <v>90</v>
      </c>
      <c r="M29" s="210" t="s">
        <v>90</v>
      </c>
      <c r="N29" s="210" t="s">
        <v>90</v>
      </c>
      <c r="O29" s="210" t="s">
        <v>90</v>
      </c>
      <c r="P29" s="210">
        <v>2</v>
      </c>
      <c r="Q29" s="210" t="s">
        <v>90</v>
      </c>
      <c r="R29" s="210" t="s">
        <v>90</v>
      </c>
      <c r="S29" s="182" t="s">
        <v>90</v>
      </c>
      <c r="T29" s="490" t="s">
        <v>90</v>
      </c>
      <c r="U29" s="182" t="s">
        <v>90</v>
      </c>
      <c r="V29" s="182" t="s">
        <v>90</v>
      </c>
      <c r="W29" s="182" t="s">
        <v>90</v>
      </c>
      <c r="X29" s="182">
        <v>1</v>
      </c>
      <c r="Y29" s="937" t="s">
        <v>90</v>
      </c>
    </row>
    <row r="30" spans="1:25" ht="18" customHeight="1">
      <c r="A30" s="183" t="s">
        <v>350</v>
      </c>
      <c r="B30" s="192">
        <f aca="true" t="shared" si="5" ref="B30:J30">SUM(B31:B39)</f>
        <v>240</v>
      </c>
      <c r="C30" s="192">
        <f t="shared" si="5"/>
        <v>283</v>
      </c>
      <c r="D30" s="192">
        <f t="shared" si="5"/>
        <v>267</v>
      </c>
      <c r="E30" s="192">
        <f t="shared" si="5"/>
        <v>287</v>
      </c>
      <c r="F30" s="192">
        <f t="shared" si="5"/>
        <v>288</v>
      </c>
      <c r="G30" s="192">
        <f t="shared" si="5"/>
        <v>283</v>
      </c>
      <c r="H30" s="192">
        <f t="shared" si="5"/>
        <v>310</v>
      </c>
      <c r="I30" s="192">
        <f t="shared" si="5"/>
        <v>196</v>
      </c>
      <c r="J30" s="192">
        <f t="shared" si="5"/>
        <v>226</v>
      </c>
      <c r="K30" s="192">
        <f>SUM(K31:K39)</f>
        <v>161</v>
      </c>
      <c r="L30" s="192">
        <f aca="true" t="shared" si="6" ref="L30:Y30">SUM(L31:L40)</f>
        <v>207</v>
      </c>
      <c r="M30" s="192">
        <f t="shared" si="6"/>
        <v>197</v>
      </c>
      <c r="N30" s="192">
        <f t="shared" si="6"/>
        <v>258</v>
      </c>
      <c r="O30" s="192">
        <f t="shared" si="6"/>
        <v>188</v>
      </c>
      <c r="P30" s="192">
        <f t="shared" si="6"/>
        <v>164</v>
      </c>
      <c r="Q30" s="192">
        <f t="shared" si="6"/>
        <v>185</v>
      </c>
      <c r="R30" s="192">
        <f t="shared" si="6"/>
        <v>169</v>
      </c>
      <c r="S30" s="192">
        <f t="shared" si="6"/>
        <v>211</v>
      </c>
      <c r="T30" s="382">
        <f>SUM(T31:T40)</f>
        <v>313</v>
      </c>
      <c r="U30" s="192">
        <f>SUM(U31:U40)</f>
        <v>233</v>
      </c>
      <c r="V30" s="192">
        <f>SUM(V31:V40)</f>
        <v>50</v>
      </c>
      <c r="W30" s="192">
        <f>SUM(W31:W40)</f>
        <v>11</v>
      </c>
      <c r="X30" s="192">
        <f>SUM(X31:X40)</f>
        <v>196</v>
      </c>
      <c r="Y30" s="482">
        <f t="shared" si="6"/>
        <v>231</v>
      </c>
    </row>
    <row r="31" spans="1:25" ht="18" customHeight="1">
      <c r="A31" s="179" t="s">
        <v>343</v>
      </c>
      <c r="B31" s="181">
        <v>240</v>
      </c>
      <c r="C31" s="181">
        <v>283</v>
      </c>
      <c r="D31" s="181">
        <v>267</v>
      </c>
      <c r="E31" s="181">
        <v>287</v>
      </c>
      <c r="F31" s="181">
        <v>288</v>
      </c>
      <c r="G31" s="181">
        <v>262</v>
      </c>
      <c r="H31" s="181">
        <v>267</v>
      </c>
      <c r="I31" s="181">
        <v>196</v>
      </c>
      <c r="J31" s="181">
        <v>143</v>
      </c>
      <c r="K31" s="181">
        <v>142</v>
      </c>
      <c r="L31" s="181">
        <v>117</v>
      </c>
      <c r="M31" s="181">
        <v>127</v>
      </c>
      <c r="N31" s="181">
        <v>135</v>
      </c>
      <c r="O31" s="170">
        <v>124</v>
      </c>
      <c r="P31" s="170">
        <v>109</v>
      </c>
      <c r="Q31" s="170">
        <v>114</v>
      </c>
      <c r="R31" s="170">
        <v>108</v>
      </c>
      <c r="S31" s="181">
        <v>127</v>
      </c>
      <c r="T31" s="383">
        <v>124</v>
      </c>
      <c r="U31" s="181">
        <v>131</v>
      </c>
      <c r="V31" s="181">
        <v>24</v>
      </c>
      <c r="W31" s="181">
        <v>11</v>
      </c>
      <c r="X31" s="181">
        <v>124</v>
      </c>
      <c r="Y31" s="465">
        <v>135</v>
      </c>
    </row>
    <row r="32" spans="1:25" ht="18" customHeight="1">
      <c r="A32" s="188" t="s">
        <v>518</v>
      </c>
      <c r="B32" s="181" t="s">
        <v>90</v>
      </c>
      <c r="C32" s="181" t="s">
        <v>90</v>
      </c>
      <c r="D32" s="181" t="s">
        <v>90</v>
      </c>
      <c r="E32" s="181" t="s">
        <v>90</v>
      </c>
      <c r="F32" s="181" t="s">
        <v>90</v>
      </c>
      <c r="G32" s="181" t="s">
        <v>90</v>
      </c>
      <c r="H32" s="181" t="s">
        <v>90</v>
      </c>
      <c r="I32" s="181" t="s">
        <v>90</v>
      </c>
      <c r="J32" s="181" t="s">
        <v>90</v>
      </c>
      <c r="K32" s="181" t="s">
        <v>90</v>
      </c>
      <c r="L32" s="181">
        <v>57</v>
      </c>
      <c r="M32" s="181">
        <v>62</v>
      </c>
      <c r="N32" s="181">
        <v>103</v>
      </c>
      <c r="O32" s="170">
        <v>59</v>
      </c>
      <c r="P32" s="170">
        <v>50</v>
      </c>
      <c r="Q32" s="170">
        <v>66</v>
      </c>
      <c r="R32" s="170">
        <v>59</v>
      </c>
      <c r="S32" s="181">
        <v>59</v>
      </c>
      <c r="T32" s="383">
        <v>183</v>
      </c>
      <c r="U32" s="181">
        <v>98</v>
      </c>
      <c r="V32" s="181">
        <v>26</v>
      </c>
      <c r="W32" s="182" t="s">
        <v>90</v>
      </c>
      <c r="X32" s="182">
        <v>68</v>
      </c>
      <c r="Y32" s="937">
        <v>94</v>
      </c>
    </row>
    <row r="33" spans="1:25" ht="18" customHeight="1">
      <c r="A33" s="179" t="s">
        <v>348</v>
      </c>
      <c r="B33" s="181" t="s">
        <v>90</v>
      </c>
      <c r="C33" s="181" t="s">
        <v>90</v>
      </c>
      <c r="D33" s="181" t="s">
        <v>90</v>
      </c>
      <c r="E33" s="181" t="s">
        <v>90</v>
      </c>
      <c r="F33" s="181" t="s">
        <v>90</v>
      </c>
      <c r="G33" s="181" t="s">
        <v>90</v>
      </c>
      <c r="H33" s="181" t="s">
        <v>90</v>
      </c>
      <c r="I33" s="181" t="s">
        <v>90</v>
      </c>
      <c r="J33" s="181">
        <v>11</v>
      </c>
      <c r="K33" s="181">
        <v>12</v>
      </c>
      <c r="L33" s="181">
        <v>17</v>
      </c>
      <c r="M33" s="181">
        <v>2</v>
      </c>
      <c r="N33" s="181" t="s">
        <v>90</v>
      </c>
      <c r="O33" s="170" t="s">
        <v>90</v>
      </c>
      <c r="P33" s="170">
        <v>2</v>
      </c>
      <c r="Q33" s="210" t="s">
        <v>90</v>
      </c>
      <c r="R33" s="210" t="s">
        <v>90</v>
      </c>
      <c r="S33" s="182">
        <v>20</v>
      </c>
      <c r="T33" s="490" t="s">
        <v>90</v>
      </c>
      <c r="U33" s="182" t="s">
        <v>90</v>
      </c>
      <c r="V33" s="182" t="s">
        <v>90</v>
      </c>
      <c r="W33" s="182" t="s">
        <v>90</v>
      </c>
      <c r="X33" s="182" t="s">
        <v>90</v>
      </c>
      <c r="Y33" s="937" t="s">
        <v>90</v>
      </c>
    </row>
    <row r="34" spans="1:25" ht="18" customHeight="1">
      <c r="A34" s="179" t="s">
        <v>340</v>
      </c>
      <c r="B34" s="181" t="s">
        <v>90</v>
      </c>
      <c r="C34" s="181" t="s">
        <v>90</v>
      </c>
      <c r="D34" s="181" t="s">
        <v>90</v>
      </c>
      <c r="E34" s="181" t="s">
        <v>90</v>
      </c>
      <c r="F34" s="181" t="s">
        <v>90</v>
      </c>
      <c r="G34" s="181" t="s">
        <v>90</v>
      </c>
      <c r="H34" s="181" t="s">
        <v>90</v>
      </c>
      <c r="I34" s="181" t="s">
        <v>90</v>
      </c>
      <c r="J34" s="181" t="s">
        <v>90</v>
      </c>
      <c r="K34" s="181" t="s">
        <v>90</v>
      </c>
      <c r="L34" s="181" t="s">
        <v>90</v>
      </c>
      <c r="M34" s="181" t="s">
        <v>90</v>
      </c>
      <c r="N34" s="181" t="s">
        <v>90</v>
      </c>
      <c r="O34" s="181" t="s">
        <v>90</v>
      </c>
      <c r="P34" s="181" t="s">
        <v>90</v>
      </c>
      <c r="Q34" s="181" t="s">
        <v>90</v>
      </c>
      <c r="R34" s="181" t="s">
        <v>90</v>
      </c>
      <c r="S34" s="182">
        <v>3</v>
      </c>
      <c r="T34" s="490" t="s">
        <v>90</v>
      </c>
      <c r="U34" s="182" t="s">
        <v>90</v>
      </c>
      <c r="V34" s="182" t="s">
        <v>90</v>
      </c>
      <c r="W34" s="182" t="s">
        <v>90</v>
      </c>
      <c r="X34" s="182" t="s">
        <v>90</v>
      </c>
      <c r="Y34" s="937" t="s">
        <v>90</v>
      </c>
    </row>
    <row r="35" spans="1:25" ht="18" customHeight="1">
      <c r="A35" s="179" t="s">
        <v>341</v>
      </c>
      <c r="B35" s="181" t="s">
        <v>90</v>
      </c>
      <c r="C35" s="181" t="s">
        <v>90</v>
      </c>
      <c r="D35" s="181" t="s">
        <v>90</v>
      </c>
      <c r="E35" s="181" t="s">
        <v>90</v>
      </c>
      <c r="F35" s="181" t="s">
        <v>90</v>
      </c>
      <c r="G35" s="181" t="s">
        <v>90</v>
      </c>
      <c r="H35" s="181" t="s">
        <v>90</v>
      </c>
      <c r="I35" s="181" t="s">
        <v>90</v>
      </c>
      <c r="J35" s="181">
        <v>8</v>
      </c>
      <c r="K35" s="181" t="s">
        <v>90</v>
      </c>
      <c r="L35" s="181" t="s">
        <v>90</v>
      </c>
      <c r="M35" s="181" t="s">
        <v>90</v>
      </c>
      <c r="N35" s="181" t="s">
        <v>90</v>
      </c>
      <c r="O35" s="170" t="s">
        <v>90</v>
      </c>
      <c r="P35" s="170" t="s">
        <v>90</v>
      </c>
      <c r="Q35" s="210" t="s">
        <v>90</v>
      </c>
      <c r="R35" s="210" t="s">
        <v>90</v>
      </c>
      <c r="S35" s="182" t="s">
        <v>90</v>
      </c>
      <c r="T35" s="490">
        <v>2</v>
      </c>
      <c r="U35" s="182" t="s">
        <v>90</v>
      </c>
      <c r="V35" s="182" t="s">
        <v>90</v>
      </c>
      <c r="W35" s="182" t="s">
        <v>90</v>
      </c>
      <c r="X35" s="182" t="s">
        <v>90</v>
      </c>
      <c r="Y35" s="937" t="s">
        <v>90</v>
      </c>
    </row>
    <row r="36" spans="1:25" ht="18" customHeight="1">
      <c r="A36" s="179" t="s">
        <v>342</v>
      </c>
      <c r="B36" s="181" t="s">
        <v>90</v>
      </c>
      <c r="C36" s="181" t="s">
        <v>90</v>
      </c>
      <c r="D36" s="181" t="s">
        <v>90</v>
      </c>
      <c r="E36" s="181" t="s">
        <v>90</v>
      </c>
      <c r="F36" s="181" t="s">
        <v>90</v>
      </c>
      <c r="G36" s="181" t="s">
        <v>90</v>
      </c>
      <c r="H36" s="181" t="s">
        <v>90</v>
      </c>
      <c r="I36" s="181" t="s">
        <v>90</v>
      </c>
      <c r="J36" s="181">
        <v>34</v>
      </c>
      <c r="K36" s="181" t="s">
        <v>90</v>
      </c>
      <c r="L36" s="181">
        <v>4</v>
      </c>
      <c r="M36" s="181">
        <v>5</v>
      </c>
      <c r="N36" s="181" t="s">
        <v>90</v>
      </c>
      <c r="O36" s="170" t="s">
        <v>90</v>
      </c>
      <c r="P36" s="170" t="s">
        <v>90</v>
      </c>
      <c r="Q36" s="210" t="s">
        <v>90</v>
      </c>
      <c r="R36" s="210" t="s">
        <v>90</v>
      </c>
      <c r="S36" s="182" t="s">
        <v>90</v>
      </c>
      <c r="T36" s="490" t="s">
        <v>90</v>
      </c>
      <c r="U36" s="182" t="s">
        <v>90</v>
      </c>
      <c r="V36" s="182" t="s">
        <v>90</v>
      </c>
      <c r="W36" s="182" t="s">
        <v>90</v>
      </c>
      <c r="X36" s="182" t="s">
        <v>90</v>
      </c>
      <c r="Y36" s="937" t="s">
        <v>90</v>
      </c>
    </row>
    <row r="37" spans="1:25" ht="18" customHeight="1">
      <c r="A37" s="179" t="s">
        <v>346</v>
      </c>
      <c r="B37" s="181" t="s">
        <v>90</v>
      </c>
      <c r="C37" s="181" t="s">
        <v>90</v>
      </c>
      <c r="D37" s="181" t="s">
        <v>90</v>
      </c>
      <c r="E37" s="181" t="s">
        <v>90</v>
      </c>
      <c r="F37" s="181" t="s">
        <v>90</v>
      </c>
      <c r="G37" s="181" t="s">
        <v>90</v>
      </c>
      <c r="H37" s="181" t="s">
        <v>90</v>
      </c>
      <c r="I37" s="181" t="s">
        <v>90</v>
      </c>
      <c r="J37" s="181">
        <v>10</v>
      </c>
      <c r="K37" s="181" t="s">
        <v>90</v>
      </c>
      <c r="L37" s="181" t="s">
        <v>90</v>
      </c>
      <c r="M37" s="181" t="s">
        <v>90</v>
      </c>
      <c r="N37" s="181" t="s">
        <v>90</v>
      </c>
      <c r="O37" s="170" t="s">
        <v>90</v>
      </c>
      <c r="P37" s="170" t="s">
        <v>90</v>
      </c>
      <c r="Q37" s="210" t="s">
        <v>90</v>
      </c>
      <c r="R37" s="210" t="s">
        <v>90</v>
      </c>
      <c r="S37" s="182" t="s">
        <v>90</v>
      </c>
      <c r="T37" s="490" t="s">
        <v>90</v>
      </c>
      <c r="U37" s="182" t="s">
        <v>90</v>
      </c>
      <c r="V37" s="182" t="s">
        <v>90</v>
      </c>
      <c r="W37" s="182" t="s">
        <v>90</v>
      </c>
      <c r="X37" s="182" t="s">
        <v>90</v>
      </c>
      <c r="Y37" s="937" t="s">
        <v>90</v>
      </c>
    </row>
    <row r="38" spans="1:25" ht="18" customHeight="1">
      <c r="A38" s="179" t="s">
        <v>345</v>
      </c>
      <c r="B38" s="181" t="s">
        <v>90</v>
      </c>
      <c r="C38" s="181" t="s">
        <v>90</v>
      </c>
      <c r="D38" s="181" t="s">
        <v>90</v>
      </c>
      <c r="E38" s="181" t="s">
        <v>90</v>
      </c>
      <c r="F38" s="181" t="s">
        <v>90</v>
      </c>
      <c r="G38" s="181">
        <v>5</v>
      </c>
      <c r="H38" s="181">
        <v>43</v>
      </c>
      <c r="I38" s="181" t="s">
        <v>90</v>
      </c>
      <c r="J38" s="181">
        <v>20</v>
      </c>
      <c r="K38" s="181">
        <v>7</v>
      </c>
      <c r="L38" s="181" t="s">
        <v>90</v>
      </c>
      <c r="M38" s="181" t="s">
        <v>90</v>
      </c>
      <c r="N38" s="181">
        <v>5</v>
      </c>
      <c r="O38" s="170">
        <v>1</v>
      </c>
      <c r="P38" s="170" t="s">
        <v>90</v>
      </c>
      <c r="Q38" s="170">
        <v>4</v>
      </c>
      <c r="R38" s="170">
        <v>2</v>
      </c>
      <c r="S38" s="181">
        <v>2</v>
      </c>
      <c r="T38" s="383">
        <v>4</v>
      </c>
      <c r="U38" s="182" t="s">
        <v>90</v>
      </c>
      <c r="V38" s="182" t="s">
        <v>90</v>
      </c>
      <c r="W38" s="182" t="s">
        <v>90</v>
      </c>
      <c r="X38" s="182" t="s">
        <v>90</v>
      </c>
      <c r="Y38" s="937" t="s">
        <v>90</v>
      </c>
    </row>
    <row r="39" spans="1:25" ht="18" customHeight="1">
      <c r="A39" s="179" t="s">
        <v>351</v>
      </c>
      <c r="B39" s="181" t="s">
        <v>90</v>
      </c>
      <c r="C39" s="181" t="s">
        <v>90</v>
      </c>
      <c r="D39" s="181" t="s">
        <v>90</v>
      </c>
      <c r="E39" s="181" t="s">
        <v>90</v>
      </c>
      <c r="F39" s="181" t="s">
        <v>90</v>
      </c>
      <c r="G39" s="181">
        <v>16</v>
      </c>
      <c r="H39" s="181" t="s">
        <v>90</v>
      </c>
      <c r="I39" s="181" t="s">
        <v>90</v>
      </c>
      <c r="J39" s="181" t="s">
        <v>90</v>
      </c>
      <c r="K39" s="181" t="s">
        <v>90</v>
      </c>
      <c r="L39" s="181" t="s">
        <v>90</v>
      </c>
      <c r="M39" s="181" t="s">
        <v>90</v>
      </c>
      <c r="N39" s="181" t="s">
        <v>90</v>
      </c>
      <c r="O39" s="170" t="s">
        <v>90</v>
      </c>
      <c r="P39" s="170" t="s">
        <v>90</v>
      </c>
      <c r="Q39" s="210" t="s">
        <v>90</v>
      </c>
      <c r="R39" s="210" t="s">
        <v>90</v>
      </c>
      <c r="S39" s="182" t="s">
        <v>90</v>
      </c>
      <c r="T39" s="490" t="s">
        <v>90</v>
      </c>
      <c r="U39" s="182" t="s">
        <v>90</v>
      </c>
      <c r="V39" s="182" t="s">
        <v>90</v>
      </c>
      <c r="W39" s="182" t="s">
        <v>90</v>
      </c>
      <c r="X39" s="182" t="s">
        <v>90</v>
      </c>
      <c r="Y39" s="937" t="s">
        <v>90</v>
      </c>
    </row>
    <row r="40" spans="1:25" ht="18" customHeight="1">
      <c r="A40" s="188" t="s">
        <v>578</v>
      </c>
      <c r="B40" s="181" t="s">
        <v>90</v>
      </c>
      <c r="C40" s="181" t="s">
        <v>90</v>
      </c>
      <c r="D40" s="181" t="s">
        <v>90</v>
      </c>
      <c r="E40" s="181" t="s">
        <v>90</v>
      </c>
      <c r="F40" s="181" t="s">
        <v>90</v>
      </c>
      <c r="G40" s="181" t="s">
        <v>90</v>
      </c>
      <c r="H40" s="181" t="s">
        <v>90</v>
      </c>
      <c r="I40" s="181" t="s">
        <v>90</v>
      </c>
      <c r="J40" s="181" t="s">
        <v>90</v>
      </c>
      <c r="K40" s="181" t="s">
        <v>90</v>
      </c>
      <c r="L40" s="181">
        <v>12</v>
      </c>
      <c r="M40" s="181">
        <v>1</v>
      </c>
      <c r="N40" s="181">
        <v>15</v>
      </c>
      <c r="O40" s="170">
        <v>4</v>
      </c>
      <c r="P40" s="170">
        <v>3</v>
      </c>
      <c r="Q40" s="170">
        <v>1</v>
      </c>
      <c r="R40" s="210" t="s">
        <v>90</v>
      </c>
      <c r="S40" s="182" t="s">
        <v>90</v>
      </c>
      <c r="T40" s="490" t="s">
        <v>90</v>
      </c>
      <c r="U40" s="182">
        <v>4</v>
      </c>
      <c r="V40" s="182" t="s">
        <v>90</v>
      </c>
      <c r="W40" s="182" t="s">
        <v>90</v>
      </c>
      <c r="X40" s="182">
        <v>4</v>
      </c>
      <c r="Y40" s="937">
        <v>2</v>
      </c>
    </row>
    <row r="41" spans="1:25" ht="18" customHeight="1">
      <c r="A41" s="183" t="s">
        <v>352</v>
      </c>
      <c r="B41" s="192">
        <f aca="true" t="shared" si="7" ref="B41:I41">SUM(B42:B45)</f>
        <v>1850</v>
      </c>
      <c r="C41" s="192">
        <f t="shared" si="7"/>
        <v>2055</v>
      </c>
      <c r="D41" s="192">
        <f t="shared" si="7"/>
        <v>1929</v>
      </c>
      <c r="E41" s="192">
        <f t="shared" si="7"/>
        <v>1939</v>
      </c>
      <c r="F41" s="192">
        <f t="shared" si="7"/>
        <v>1926</v>
      </c>
      <c r="G41" s="192">
        <f t="shared" si="7"/>
        <v>1814</v>
      </c>
      <c r="H41" s="192">
        <f t="shared" si="7"/>
        <v>1802</v>
      </c>
      <c r="I41" s="192">
        <f t="shared" si="7"/>
        <v>1769</v>
      </c>
      <c r="J41" s="192">
        <f>SUM(J42:J45)</f>
        <v>1768</v>
      </c>
      <c r="K41" s="192">
        <f>SUM(K42:K45)</f>
        <v>1670</v>
      </c>
      <c r="L41" s="192">
        <f>SUM(L42:L46)</f>
        <v>1270</v>
      </c>
      <c r="M41" s="192">
        <f>SUM(M42:M47)</f>
        <v>4</v>
      </c>
      <c r="N41" s="192">
        <f>SUM(N42:N47)</f>
        <v>1931</v>
      </c>
      <c r="O41" s="192">
        <f>SUM(O42:O47)</f>
        <v>1997</v>
      </c>
      <c r="P41" s="192">
        <f>SUM(P42:P49)</f>
        <v>2196</v>
      </c>
      <c r="Q41" s="192">
        <f>SUM(Q42:Q49)</f>
        <v>2131</v>
      </c>
      <c r="R41" s="192">
        <f aca="true" t="shared" si="8" ref="R41:Y41">SUM(R42:R50)</f>
        <v>2197</v>
      </c>
      <c r="S41" s="192">
        <f t="shared" si="8"/>
        <v>2414</v>
      </c>
      <c r="T41" s="382">
        <f t="shared" si="8"/>
        <v>2151</v>
      </c>
      <c r="U41" s="192">
        <f t="shared" si="8"/>
        <v>2115</v>
      </c>
      <c r="V41" s="192">
        <f t="shared" si="8"/>
        <v>397</v>
      </c>
      <c r="W41" s="192">
        <f>SUM(W42:W50)</f>
        <v>116</v>
      </c>
      <c r="X41" s="192">
        <f>SUM(X42:X50)</f>
        <v>1330</v>
      </c>
      <c r="Y41" s="482">
        <f t="shared" si="8"/>
        <v>1150</v>
      </c>
    </row>
    <row r="42" spans="1:25" ht="18" customHeight="1">
      <c r="A42" s="179" t="s">
        <v>353</v>
      </c>
      <c r="B42" s="181">
        <v>909</v>
      </c>
      <c r="C42" s="181">
        <v>998</v>
      </c>
      <c r="D42" s="181">
        <v>949</v>
      </c>
      <c r="E42" s="181">
        <v>976</v>
      </c>
      <c r="F42" s="181">
        <v>950</v>
      </c>
      <c r="G42" s="181">
        <v>885</v>
      </c>
      <c r="H42" s="181">
        <v>887</v>
      </c>
      <c r="I42" s="181">
        <v>862</v>
      </c>
      <c r="J42" s="181">
        <v>846</v>
      </c>
      <c r="K42" s="181">
        <v>830</v>
      </c>
      <c r="L42" s="181">
        <v>634</v>
      </c>
      <c r="M42" s="181" t="s">
        <v>90</v>
      </c>
      <c r="N42" s="181">
        <v>648</v>
      </c>
      <c r="O42" s="170">
        <v>649</v>
      </c>
      <c r="P42" s="170">
        <v>698</v>
      </c>
      <c r="Q42" s="170">
        <v>717</v>
      </c>
      <c r="R42" s="170">
        <v>748</v>
      </c>
      <c r="S42" s="181">
        <v>805</v>
      </c>
      <c r="T42" s="383">
        <v>700</v>
      </c>
      <c r="U42" s="181">
        <v>715</v>
      </c>
      <c r="V42" s="181">
        <v>127</v>
      </c>
      <c r="W42" s="181">
        <v>50</v>
      </c>
      <c r="X42" s="1225">
        <v>388</v>
      </c>
      <c r="Y42" s="520">
        <v>383</v>
      </c>
    </row>
    <row r="43" spans="1:25" ht="18" customHeight="1">
      <c r="A43" s="179" t="s">
        <v>354</v>
      </c>
      <c r="B43" s="181">
        <v>941</v>
      </c>
      <c r="C43" s="181">
        <v>1057</v>
      </c>
      <c r="D43" s="181">
        <v>980</v>
      </c>
      <c r="E43" s="181">
        <v>963</v>
      </c>
      <c r="F43" s="181">
        <v>976</v>
      </c>
      <c r="G43" s="181">
        <v>929</v>
      </c>
      <c r="H43" s="181">
        <v>910</v>
      </c>
      <c r="I43" s="181">
        <v>906</v>
      </c>
      <c r="J43" s="181">
        <v>922</v>
      </c>
      <c r="K43" s="181">
        <v>839</v>
      </c>
      <c r="L43" s="181">
        <v>628</v>
      </c>
      <c r="M43" s="181" t="s">
        <v>90</v>
      </c>
      <c r="N43" s="181">
        <v>666</v>
      </c>
      <c r="O43" s="170">
        <v>695</v>
      </c>
      <c r="P43" s="170">
        <v>785</v>
      </c>
      <c r="Q43" s="170">
        <v>716</v>
      </c>
      <c r="R43" s="170">
        <v>750</v>
      </c>
      <c r="S43" s="181">
        <v>864</v>
      </c>
      <c r="T43" s="383">
        <v>747</v>
      </c>
      <c r="U43" s="181">
        <v>752</v>
      </c>
      <c r="V43" s="181">
        <v>104</v>
      </c>
      <c r="W43" s="181">
        <v>65</v>
      </c>
      <c r="X43" s="1225">
        <v>517</v>
      </c>
      <c r="Y43" s="520">
        <v>403</v>
      </c>
    </row>
    <row r="44" spans="1:25" ht="18" customHeight="1">
      <c r="A44" s="188" t="s">
        <v>355</v>
      </c>
      <c r="B44" s="181" t="s">
        <v>90</v>
      </c>
      <c r="C44" s="181" t="s">
        <v>90</v>
      </c>
      <c r="D44" s="181" t="s">
        <v>90</v>
      </c>
      <c r="E44" s="181" t="s">
        <v>90</v>
      </c>
      <c r="F44" s="181" t="s">
        <v>90</v>
      </c>
      <c r="G44" s="181" t="s">
        <v>90</v>
      </c>
      <c r="H44" s="181" t="s">
        <v>90</v>
      </c>
      <c r="I44" s="181" t="s">
        <v>90</v>
      </c>
      <c r="J44" s="181" t="s">
        <v>90</v>
      </c>
      <c r="K44" s="181" t="s">
        <v>90</v>
      </c>
      <c r="L44" s="181" t="s">
        <v>90</v>
      </c>
      <c r="M44" s="181" t="s">
        <v>90</v>
      </c>
      <c r="N44" s="181">
        <v>617</v>
      </c>
      <c r="O44" s="170">
        <v>652</v>
      </c>
      <c r="P44" s="170">
        <v>708</v>
      </c>
      <c r="Q44" s="170">
        <v>698</v>
      </c>
      <c r="R44" s="170">
        <v>688</v>
      </c>
      <c r="S44" s="181">
        <v>744</v>
      </c>
      <c r="T44" s="383">
        <v>702</v>
      </c>
      <c r="U44" s="181">
        <v>634</v>
      </c>
      <c r="V44" s="181">
        <v>133</v>
      </c>
      <c r="W44" s="182" t="s">
        <v>90</v>
      </c>
      <c r="X44" s="1225">
        <v>421</v>
      </c>
      <c r="Y44" s="520">
        <v>361</v>
      </c>
    </row>
    <row r="45" spans="1:25" ht="18" customHeight="1">
      <c r="A45" s="179" t="s">
        <v>345</v>
      </c>
      <c r="B45" s="181" t="s">
        <v>90</v>
      </c>
      <c r="C45" s="181" t="s">
        <v>90</v>
      </c>
      <c r="D45" s="181" t="s">
        <v>90</v>
      </c>
      <c r="E45" s="181" t="s">
        <v>90</v>
      </c>
      <c r="F45" s="181" t="s">
        <v>90</v>
      </c>
      <c r="G45" s="181" t="s">
        <v>90</v>
      </c>
      <c r="H45" s="181">
        <v>5</v>
      </c>
      <c r="I45" s="181">
        <v>1</v>
      </c>
      <c r="J45" s="181" t="s">
        <v>90</v>
      </c>
      <c r="K45" s="181">
        <v>1</v>
      </c>
      <c r="L45" s="181">
        <v>6</v>
      </c>
      <c r="M45" s="181" t="s">
        <v>90</v>
      </c>
      <c r="N45" s="181" t="s">
        <v>90</v>
      </c>
      <c r="O45" s="170" t="s">
        <v>90</v>
      </c>
      <c r="P45" s="170" t="s">
        <v>90</v>
      </c>
      <c r="Q45" s="210" t="s">
        <v>90</v>
      </c>
      <c r="R45" s="210" t="s">
        <v>90</v>
      </c>
      <c r="S45" s="182">
        <v>1</v>
      </c>
      <c r="T45" s="490" t="s">
        <v>90</v>
      </c>
      <c r="U45" s="182">
        <v>6</v>
      </c>
      <c r="V45" s="182" t="s">
        <v>90</v>
      </c>
      <c r="W45" s="182" t="s">
        <v>90</v>
      </c>
      <c r="X45" s="182" t="s">
        <v>90</v>
      </c>
      <c r="Y45" s="937" t="s">
        <v>90</v>
      </c>
    </row>
    <row r="46" spans="1:25" ht="18" customHeight="1">
      <c r="A46" s="188" t="s">
        <v>343</v>
      </c>
      <c r="B46" s="181" t="s">
        <v>90</v>
      </c>
      <c r="C46" s="181" t="s">
        <v>90</v>
      </c>
      <c r="D46" s="181" t="s">
        <v>90</v>
      </c>
      <c r="E46" s="181" t="s">
        <v>90</v>
      </c>
      <c r="F46" s="181" t="s">
        <v>90</v>
      </c>
      <c r="G46" s="181" t="s">
        <v>90</v>
      </c>
      <c r="H46" s="181" t="s">
        <v>90</v>
      </c>
      <c r="I46" s="181" t="s">
        <v>90</v>
      </c>
      <c r="J46" s="181" t="s">
        <v>90</v>
      </c>
      <c r="K46" s="181" t="s">
        <v>90</v>
      </c>
      <c r="L46" s="181">
        <v>2</v>
      </c>
      <c r="M46" s="181" t="s">
        <v>90</v>
      </c>
      <c r="N46" s="181" t="s">
        <v>90</v>
      </c>
      <c r="O46" s="170" t="s">
        <v>90</v>
      </c>
      <c r="P46" s="170" t="s">
        <v>90</v>
      </c>
      <c r="Q46" s="210" t="s">
        <v>90</v>
      </c>
      <c r="R46" s="210">
        <v>1</v>
      </c>
      <c r="S46" s="182" t="s">
        <v>90</v>
      </c>
      <c r="T46" s="490">
        <v>2</v>
      </c>
      <c r="U46" s="182"/>
      <c r="V46" s="182">
        <v>24</v>
      </c>
      <c r="W46" s="182" t="s">
        <v>90</v>
      </c>
      <c r="X46" s="182">
        <v>2</v>
      </c>
      <c r="Y46" s="937" t="s">
        <v>90</v>
      </c>
    </row>
    <row r="47" spans="1:25" ht="18" customHeight="1">
      <c r="A47" s="188" t="s">
        <v>341</v>
      </c>
      <c r="B47" s="181" t="s">
        <v>90</v>
      </c>
      <c r="C47" s="181" t="s">
        <v>90</v>
      </c>
      <c r="D47" s="181" t="s">
        <v>90</v>
      </c>
      <c r="E47" s="181" t="s">
        <v>90</v>
      </c>
      <c r="F47" s="181" t="s">
        <v>90</v>
      </c>
      <c r="G47" s="181" t="s">
        <v>90</v>
      </c>
      <c r="H47" s="181" t="s">
        <v>90</v>
      </c>
      <c r="I47" s="181" t="s">
        <v>90</v>
      </c>
      <c r="J47" s="181" t="s">
        <v>90</v>
      </c>
      <c r="K47" s="181" t="s">
        <v>90</v>
      </c>
      <c r="L47" s="181" t="s">
        <v>90</v>
      </c>
      <c r="M47" s="181">
        <v>4</v>
      </c>
      <c r="N47" s="181" t="s">
        <v>90</v>
      </c>
      <c r="O47" s="170">
        <v>1</v>
      </c>
      <c r="P47" s="170">
        <v>1</v>
      </c>
      <c r="Q47" s="210" t="s">
        <v>90</v>
      </c>
      <c r="R47" s="210" t="s">
        <v>90</v>
      </c>
      <c r="S47" s="182" t="s">
        <v>90</v>
      </c>
      <c r="T47" s="490" t="s">
        <v>90</v>
      </c>
      <c r="U47" s="182" t="s">
        <v>90</v>
      </c>
      <c r="V47" s="182">
        <v>9</v>
      </c>
      <c r="W47" s="182" t="s">
        <v>90</v>
      </c>
      <c r="X47" s="182" t="s">
        <v>90</v>
      </c>
      <c r="Y47" s="937" t="s">
        <v>90</v>
      </c>
    </row>
    <row r="48" spans="1:25" ht="18" customHeight="1">
      <c r="A48" s="179" t="s">
        <v>518</v>
      </c>
      <c r="B48" s="181" t="s">
        <v>90</v>
      </c>
      <c r="C48" s="181" t="s">
        <v>90</v>
      </c>
      <c r="D48" s="181" t="s">
        <v>90</v>
      </c>
      <c r="E48" s="181" t="s">
        <v>90</v>
      </c>
      <c r="F48" s="181" t="s">
        <v>90</v>
      </c>
      <c r="G48" s="181" t="s">
        <v>90</v>
      </c>
      <c r="H48" s="181" t="s">
        <v>90</v>
      </c>
      <c r="I48" s="181" t="s">
        <v>90</v>
      </c>
      <c r="J48" s="181" t="s">
        <v>90</v>
      </c>
      <c r="K48" s="181" t="s">
        <v>90</v>
      </c>
      <c r="L48" s="181" t="s">
        <v>90</v>
      </c>
      <c r="M48" s="181" t="s">
        <v>90</v>
      </c>
      <c r="N48" s="181" t="s">
        <v>90</v>
      </c>
      <c r="O48" s="181" t="s">
        <v>90</v>
      </c>
      <c r="P48" s="181" t="s">
        <v>90</v>
      </c>
      <c r="Q48" s="181" t="s">
        <v>90</v>
      </c>
      <c r="R48" s="181" t="s">
        <v>90</v>
      </c>
      <c r="S48" s="181" t="s">
        <v>90</v>
      </c>
      <c r="T48" s="181" t="s">
        <v>90</v>
      </c>
      <c r="U48" s="181" t="s">
        <v>90</v>
      </c>
      <c r="V48" s="181" t="s">
        <v>90</v>
      </c>
      <c r="W48" s="181" t="s">
        <v>90</v>
      </c>
      <c r="X48" s="181" t="s">
        <v>90</v>
      </c>
      <c r="Y48" s="937">
        <v>3</v>
      </c>
    </row>
    <row r="49" spans="1:25" ht="18" customHeight="1">
      <c r="A49" s="188" t="s">
        <v>578</v>
      </c>
      <c r="B49" s="181" t="s">
        <v>90</v>
      </c>
      <c r="C49" s="181" t="s">
        <v>90</v>
      </c>
      <c r="D49" s="181" t="s">
        <v>90</v>
      </c>
      <c r="E49" s="181" t="s">
        <v>90</v>
      </c>
      <c r="F49" s="181" t="s">
        <v>90</v>
      </c>
      <c r="G49" s="181" t="s">
        <v>90</v>
      </c>
      <c r="H49" s="181" t="s">
        <v>90</v>
      </c>
      <c r="I49" s="181" t="s">
        <v>90</v>
      </c>
      <c r="J49" s="181" t="s">
        <v>90</v>
      </c>
      <c r="K49" s="181" t="s">
        <v>90</v>
      </c>
      <c r="L49" s="181" t="s">
        <v>90</v>
      </c>
      <c r="M49" s="181" t="s">
        <v>90</v>
      </c>
      <c r="N49" s="181" t="s">
        <v>90</v>
      </c>
      <c r="O49" s="181" t="s">
        <v>90</v>
      </c>
      <c r="P49" s="170">
        <v>4</v>
      </c>
      <c r="Q49" s="210" t="s">
        <v>90</v>
      </c>
      <c r="R49" s="210" t="s">
        <v>90</v>
      </c>
      <c r="S49" s="182" t="s">
        <v>90</v>
      </c>
      <c r="T49" s="490" t="s">
        <v>90</v>
      </c>
      <c r="U49" s="182">
        <v>8</v>
      </c>
      <c r="V49" s="182" t="s">
        <v>90</v>
      </c>
      <c r="W49" s="182">
        <v>1</v>
      </c>
      <c r="X49" s="182">
        <v>2</v>
      </c>
      <c r="Y49" s="937" t="s">
        <v>90</v>
      </c>
    </row>
    <row r="50" spans="1:25" ht="18" customHeight="1">
      <c r="A50" s="179" t="s">
        <v>346</v>
      </c>
      <c r="B50" s="181" t="s">
        <v>90</v>
      </c>
      <c r="C50" s="181" t="s">
        <v>90</v>
      </c>
      <c r="D50" s="181" t="s">
        <v>90</v>
      </c>
      <c r="E50" s="181" t="s">
        <v>90</v>
      </c>
      <c r="F50" s="181" t="s">
        <v>90</v>
      </c>
      <c r="G50" s="181" t="s">
        <v>90</v>
      </c>
      <c r="H50" s="181" t="s">
        <v>90</v>
      </c>
      <c r="I50" s="181" t="s">
        <v>90</v>
      </c>
      <c r="J50" s="181" t="s">
        <v>90</v>
      </c>
      <c r="K50" s="181" t="s">
        <v>90</v>
      </c>
      <c r="L50" s="181" t="s">
        <v>90</v>
      </c>
      <c r="M50" s="181" t="s">
        <v>90</v>
      </c>
      <c r="N50" s="181" t="s">
        <v>90</v>
      </c>
      <c r="O50" s="181" t="s">
        <v>90</v>
      </c>
      <c r="P50" s="181" t="s">
        <v>90</v>
      </c>
      <c r="Q50" s="181" t="s">
        <v>90</v>
      </c>
      <c r="R50" s="210">
        <v>10</v>
      </c>
      <c r="S50" s="182" t="s">
        <v>90</v>
      </c>
      <c r="T50" s="490" t="s">
        <v>90</v>
      </c>
      <c r="U50" s="182" t="s">
        <v>90</v>
      </c>
      <c r="V50" s="182" t="s">
        <v>90</v>
      </c>
      <c r="W50" s="182" t="s">
        <v>90</v>
      </c>
      <c r="X50" s="182" t="s">
        <v>90</v>
      </c>
      <c r="Y50" s="182" t="s">
        <v>90</v>
      </c>
    </row>
    <row r="51" spans="1:25" ht="18" customHeight="1">
      <c r="A51" s="183" t="s">
        <v>737</v>
      </c>
      <c r="B51" s="192" t="s">
        <v>90</v>
      </c>
      <c r="C51" s="192" t="s">
        <v>90</v>
      </c>
      <c r="D51" s="192" t="s">
        <v>90</v>
      </c>
      <c r="E51" s="192" t="s">
        <v>90</v>
      </c>
      <c r="F51" s="177">
        <v>2</v>
      </c>
      <c r="G51" s="177">
        <v>7</v>
      </c>
      <c r="H51" s="177">
        <v>5</v>
      </c>
      <c r="I51" s="177">
        <v>11</v>
      </c>
      <c r="J51" s="177">
        <f>15+33+44</f>
        <v>92</v>
      </c>
      <c r="K51" s="177">
        <f>13+57+63</f>
        <v>133</v>
      </c>
      <c r="L51" s="177">
        <v>176</v>
      </c>
      <c r="M51" s="177">
        <v>331</v>
      </c>
      <c r="N51" s="177">
        <v>499</v>
      </c>
      <c r="O51" s="177">
        <v>501</v>
      </c>
      <c r="P51" s="177">
        <f>52+72+519</f>
        <v>643</v>
      </c>
      <c r="Q51" s="177">
        <v>628</v>
      </c>
      <c r="R51" s="177">
        <v>570</v>
      </c>
      <c r="S51" s="177">
        <v>611</v>
      </c>
      <c r="T51" s="458">
        <v>610</v>
      </c>
      <c r="U51" s="177">
        <v>918</v>
      </c>
      <c r="V51" s="177">
        <v>277</v>
      </c>
      <c r="W51" s="177">
        <v>35</v>
      </c>
      <c r="X51" s="177">
        <v>555</v>
      </c>
      <c r="Y51" s="891">
        <v>617</v>
      </c>
    </row>
    <row r="52" spans="1:10" ht="12.75">
      <c r="A52" s="5"/>
      <c r="B52" s="5"/>
      <c r="C52" s="5"/>
      <c r="D52" s="5"/>
      <c r="E52" s="5"/>
      <c r="F52" s="5"/>
      <c r="G52" s="5"/>
      <c r="H52" s="5"/>
      <c r="I52" s="5"/>
      <c r="J52" s="5"/>
    </row>
    <row r="53" spans="1:24" s="461" customFormat="1" ht="12.75">
      <c r="A53" s="474" t="s">
        <v>738</v>
      </c>
      <c r="B53" s="473"/>
      <c r="C53" s="473"/>
      <c r="D53" s="473"/>
      <c r="E53" s="473"/>
      <c r="F53" s="473"/>
      <c r="G53" s="473"/>
      <c r="H53" s="473"/>
      <c r="I53" s="473"/>
      <c r="J53" s="473"/>
      <c r="W53" s="2"/>
      <c r="X53" s="2"/>
    </row>
    <row r="54" spans="1:24" s="461" customFormat="1" ht="12.75">
      <c r="A54" s="474" t="s">
        <v>739</v>
      </c>
      <c r="B54" s="473"/>
      <c r="C54" s="473"/>
      <c r="D54" s="473"/>
      <c r="E54" s="473"/>
      <c r="F54" s="473"/>
      <c r="G54" s="473"/>
      <c r="H54" s="473"/>
      <c r="I54" s="473"/>
      <c r="J54" s="473"/>
      <c r="W54" s="2"/>
      <c r="X54" s="2"/>
    </row>
    <row r="55" spans="1:10" ht="12.75">
      <c r="A55" s="13" t="s">
        <v>768</v>
      </c>
      <c r="B55" s="5"/>
      <c r="C55" s="5"/>
      <c r="D55" s="5"/>
      <c r="E55" s="5"/>
      <c r="F55" s="5"/>
      <c r="G55" s="5"/>
      <c r="H55" s="5"/>
      <c r="I55" s="5"/>
      <c r="J55" s="5"/>
    </row>
    <row r="56" spans="1:10" ht="12.75">
      <c r="A56" s="13" t="s">
        <v>766</v>
      </c>
      <c r="B56" s="5"/>
      <c r="C56" s="5"/>
      <c r="D56" s="5"/>
      <c r="E56" s="5"/>
      <c r="F56" s="5"/>
      <c r="G56" s="5"/>
      <c r="H56" s="5"/>
      <c r="I56" s="5"/>
      <c r="J56" s="5"/>
    </row>
    <row r="57" spans="1:10" ht="12.75">
      <c r="A57" s="13"/>
      <c r="B57" s="5"/>
      <c r="C57" s="5"/>
      <c r="D57" s="5"/>
      <c r="E57" s="5"/>
      <c r="F57" s="5"/>
      <c r="G57" s="5"/>
      <c r="H57" s="5"/>
      <c r="I57" s="5"/>
      <c r="J57" s="5"/>
    </row>
    <row r="58" spans="1:10" ht="12.75">
      <c r="A58" s="13" t="s">
        <v>334</v>
      </c>
      <c r="B58" s="5"/>
      <c r="C58" s="5"/>
      <c r="D58" s="5"/>
      <c r="E58" s="5"/>
      <c r="F58" s="5"/>
      <c r="G58" s="5"/>
      <c r="H58" s="5"/>
      <c r="I58" s="5"/>
      <c r="J58" s="5"/>
    </row>
    <row r="59" spans="1:25" ht="12.75">
      <c r="A59" s="1106" t="s">
        <v>864</v>
      </c>
      <c r="B59" s="1106"/>
      <c r="C59" s="1106"/>
      <c r="D59" s="1106"/>
      <c r="E59" s="1106"/>
      <c r="F59" s="1106"/>
      <c r="G59" s="1106"/>
      <c r="H59" s="1106"/>
      <c r="I59" s="1106"/>
      <c r="J59" s="1106"/>
      <c r="K59" s="1106"/>
      <c r="L59" s="1106"/>
      <c r="M59" s="1106"/>
      <c r="N59" s="1106"/>
      <c r="O59" s="1106"/>
      <c r="P59" s="1106"/>
      <c r="Q59" s="1106"/>
      <c r="R59" s="1106"/>
      <c r="S59" s="1106"/>
      <c r="T59" s="1106"/>
      <c r="U59" s="1106"/>
      <c r="V59" s="1106"/>
      <c r="W59" s="1106"/>
      <c r="X59" s="1106"/>
      <c r="Y59" s="1107"/>
    </row>
    <row r="60" spans="1:25" ht="12.75">
      <c r="A60" s="1106" t="s">
        <v>877</v>
      </c>
      <c r="B60" s="1106"/>
      <c r="C60" s="1106"/>
      <c r="D60" s="1106"/>
      <c r="E60" s="1106"/>
      <c r="F60" s="1106"/>
      <c r="G60" s="1106"/>
      <c r="H60" s="1106"/>
      <c r="I60" s="1106"/>
      <c r="J60" s="1106"/>
      <c r="K60" s="1106"/>
      <c r="L60" s="1106"/>
      <c r="M60" s="1106"/>
      <c r="N60" s="1106"/>
      <c r="O60" s="1106"/>
      <c r="P60" s="1106"/>
      <c r="Q60" s="1106"/>
      <c r="R60" s="1106"/>
      <c r="S60" s="1106"/>
      <c r="T60" s="1106"/>
      <c r="U60" s="1106"/>
      <c r="V60" s="1106"/>
      <c r="W60" s="1106"/>
      <c r="X60" s="1106"/>
      <c r="Y60" s="1107"/>
    </row>
  </sheetData>
  <sheetProtection/>
  <mergeCells count="5">
    <mergeCell ref="A1:Y1"/>
    <mergeCell ref="A3:Y3"/>
    <mergeCell ref="A4:Y4"/>
    <mergeCell ref="A59:Y59"/>
    <mergeCell ref="A60:Y60"/>
  </mergeCells>
  <printOptions horizontalCentered="1"/>
  <pageMargins left="0.7874015748031497" right="0.7874015748031497" top="0.984251968503937" bottom="0.984251968503937" header="0" footer="0"/>
  <pageSetup fitToHeight="1" fitToWidth="1" horizontalDpi="600" verticalDpi="600" orientation="landscape" scale="44"/>
  <ignoredErrors>
    <ignoredError sqref="Y41" formulaRange="1"/>
  </ignoredErrors>
</worksheet>
</file>

<file path=xl/worksheets/sheet36.xml><?xml version="1.0" encoding="utf-8"?>
<worksheet xmlns="http://schemas.openxmlformats.org/spreadsheetml/2006/main" xmlns:r="http://schemas.openxmlformats.org/officeDocument/2006/relationships">
  <sheetPr>
    <tabColor theme="9" tint="-0.24997000396251678"/>
    <pageSetUpPr fitToPage="1"/>
  </sheetPr>
  <dimension ref="A1:Y60"/>
  <sheetViews>
    <sheetView zoomScalePageLayoutView="0" workbookViewId="0" topLeftCell="A1">
      <selection activeCell="A1" sqref="A1:Y1"/>
    </sheetView>
  </sheetViews>
  <sheetFormatPr defaultColWidth="10.8515625" defaultRowHeight="12.75"/>
  <cols>
    <col min="1" max="1" width="39.7109375" style="2" customWidth="1"/>
    <col min="2" max="14" width="10.8515625" style="2" customWidth="1"/>
    <col min="15" max="18" width="10.8515625" style="0" customWidth="1"/>
    <col min="19" max="24" width="10.8515625" style="2" customWidth="1"/>
    <col min="25" max="25" width="10.8515625" style="461" customWidth="1"/>
    <col min="26" max="16384" width="10.8515625" style="2" customWidth="1"/>
  </cols>
  <sheetData>
    <row r="1" spans="1:25" ht="12.75">
      <c r="A1" s="1176" t="s">
        <v>667</v>
      </c>
      <c r="B1" s="1176"/>
      <c r="C1" s="1176"/>
      <c r="D1" s="1176"/>
      <c r="E1" s="1176"/>
      <c r="F1" s="1176"/>
      <c r="G1" s="1176"/>
      <c r="H1" s="1176"/>
      <c r="I1" s="1176"/>
      <c r="J1" s="1176"/>
      <c r="K1" s="1176"/>
      <c r="L1" s="1176"/>
      <c r="M1" s="1176"/>
      <c r="N1" s="1176"/>
      <c r="O1" s="1176"/>
      <c r="P1" s="1176"/>
      <c r="Q1" s="1176"/>
      <c r="R1" s="1176"/>
      <c r="S1" s="1176"/>
      <c r="T1" s="1176"/>
      <c r="U1" s="1176"/>
      <c r="V1" s="1176"/>
      <c r="W1" s="1176"/>
      <c r="X1" s="1176"/>
      <c r="Y1" s="1176"/>
    </row>
    <row r="3" spans="1:25" ht="18" customHeight="1">
      <c r="A3" s="1109" t="s">
        <v>356</v>
      </c>
      <c r="B3" s="1109"/>
      <c r="C3" s="1109"/>
      <c r="D3" s="1109"/>
      <c r="E3" s="1109"/>
      <c r="F3" s="1109"/>
      <c r="G3" s="1109"/>
      <c r="H3" s="1109"/>
      <c r="I3" s="1109"/>
      <c r="J3" s="1109"/>
      <c r="K3" s="1109"/>
      <c r="L3" s="1109"/>
      <c r="M3" s="1109"/>
      <c r="N3" s="1109"/>
      <c r="O3" s="1109"/>
      <c r="P3" s="1109"/>
      <c r="Q3" s="1109"/>
      <c r="R3" s="1109"/>
      <c r="S3" s="1109"/>
      <c r="T3" s="1109"/>
      <c r="U3" s="1109"/>
      <c r="V3" s="1109"/>
      <c r="W3" s="1109"/>
      <c r="X3" s="1109"/>
      <c r="Y3" s="1114"/>
    </row>
    <row r="4" spans="1:25" ht="18" customHeight="1">
      <c r="A4" s="1111" t="s">
        <v>778</v>
      </c>
      <c r="B4" s="1111"/>
      <c r="C4" s="1111"/>
      <c r="D4" s="1111"/>
      <c r="E4" s="1111"/>
      <c r="F4" s="1111"/>
      <c r="G4" s="1111"/>
      <c r="H4" s="1111"/>
      <c r="I4" s="1111"/>
      <c r="J4" s="1111"/>
      <c r="K4" s="1111"/>
      <c r="L4" s="1111"/>
      <c r="M4" s="1111"/>
      <c r="N4" s="1111"/>
      <c r="O4" s="1111"/>
      <c r="P4" s="1111"/>
      <c r="Q4" s="1111"/>
      <c r="R4" s="1111"/>
      <c r="S4" s="1111"/>
      <c r="T4" s="1111"/>
      <c r="U4" s="1111"/>
      <c r="V4" s="1111"/>
      <c r="W4" s="1111"/>
      <c r="X4" s="1111"/>
      <c r="Y4" s="1107"/>
    </row>
    <row r="5" spans="1:25" ht="18" customHeight="1">
      <c r="A5" s="5"/>
      <c r="B5" s="5"/>
      <c r="C5" s="5"/>
      <c r="D5" s="5"/>
      <c r="E5" s="5"/>
      <c r="F5" s="5"/>
      <c r="G5" s="5"/>
      <c r="H5" s="5"/>
      <c r="I5" s="5"/>
      <c r="J5" s="5"/>
      <c r="W5" s="5"/>
      <c r="X5" s="5"/>
      <c r="Y5" s="473"/>
    </row>
    <row r="6" spans="1:25" ht="18" customHeight="1">
      <c r="A6" s="5" t="s">
        <v>337</v>
      </c>
      <c r="B6" s="290">
        <v>2000</v>
      </c>
      <c r="C6" s="290">
        <v>2001</v>
      </c>
      <c r="D6" s="290">
        <v>2002</v>
      </c>
      <c r="E6" s="290">
        <v>2003</v>
      </c>
      <c r="F6" s="290">
        <v>2004</v>
      </c>
      <c r="G6" s="290">
        <v>2005</v>
      </c>
      <c r="H6" s="290">
        <v>2006</v>
      </c>
      <c r="I6" s="290">
        <v>2007</v>
      </c>
      <c r="J6" s="290">
        <v>2008</v>
      </c>
      <c r="K6" s="290">
        <v>2009</v>
      </c>
      <c r="L6" s="290">
        <v>2010</v>
      </c>
      <c r="M6" s="290">
        <v>2011</v>
      </c>
      <c r="N6" s="290">
        <v>2012</v>
      </c>
      <c r="O6" s="290">
        <v>2013</v>
      </c>
      <c r="P6" s="290">
        <v>2014</v>
      </c>
      <c r="Q6" s="290">
        <v>2015</v>
      </c>
      <c r="R6" s="290">
        <v>2016</v>
      </c>
      <c r="S6" s="290">
        <v>2017</v>
      </c>
      <c r="T6" s="290">
        <v>2018</v>
      </c>
      <c r="U6" s="290">
        <v>2019</v>
      </c>
      <c r="V6" s="290" t="s">
        <v>725</v>
      </c>
      <c r="W6" s="290" t="s">
        <v>841</v>
      </c>
      <c r="X6" s="290">
        <v>2022</v>
      </c>
      <c r="Y6" s="463">
        <v>2023</v>
      </c>
    </row>
    <row r="7" spans="1:25" ht="18" customHeight="1">
      <c r="A7" s="491" t="s">
        <v>335</v>
      </c>
      <c r="B7" s="492">
        <f aca="true" t="shared" si="0" ref="B7:S7">SUM(B8,B19,B30,B41,B51)</f>
        <v>301766</v>
      </c>
      <c r="C7" s="492">
        <f t="shared" si="0"/>
        <v>397221</v>
      </c>
      <c r="D7" s="492">
        <f t="shared" si="0"/>
        <v>381219</v>
      </c>
      <c r="E7" s="492">
        <f t="shared" si="0"/>
        <v>414433</v>
      </c>
      <c r="F7" s="492">
        <f t="shared" si="0"/>
        <v>427373</v>
      </c>
      <c r="G7" s="492">
        <f t="shared" si="0"/>
        <v>416875</v>
      </c>
      <c r="H7" s="492">
        <f t="shared" si="0"/>
        <v>408455</v>
      </c>
      <c r="I7" s="492">
        <f t="shared" si="0"/>
        <v>377820</v>
      </c>
      <c r="J7" s="492">
        <f t="shared" si="0"/>
        <v>436710</v>
      </c>
      <c r="K7" s="492">
        <f t="shared" si="0"/>
        <v>411520</v>
      </c>
      <c r="L7" s="492">
        <f t="shared" si="0"/>
        <v>369425</v>
      </c>
      <c r="M7" s="492">
        <f t="shared" si="0"/>
        <v>378373</v>
      </c>
      <c r="N7" s="492">
        <f t="shared" si="0"/>
        <v>434109</v>
      </c>
      <c r="O7" s="492">
        <f t="shared" si="0"/>
        <v>449232</v>
      </c>
      <c r="P7" s="492">
        <f t="shared" si="0"/>
        <v>403154</v>
      </c>
      <c r="Q7" s="492">
        <f t="shared" si="0"/>
        <v>455085</v>
      </c>
      <c r="R7" s="492">
        <f t="shared" si="0"/>
        <v>466245</v>
      </c>
      <c r="S7" s="492">
        <f t="shared" si="0"/>
        <v>465517</v>
      </c>
      <c r="T7" s="492">
        <f>SUM(T8,T19,T30,T41,T51)</f>
        <v>456227</v>
      </c>
      <c r="U7" s="492">
        <f>SUM(U8,U19,U30,U41,U51)</f>
        <v>536823</v>
      </c>
      <c r="V7" s="492">
        <f>SUM(V8,V19,V30,V41,V51)</f>
        <v>80078</v>
      </c>
      <c r="W7" s="492">
        <f>SUM(W8,W19,W30,W41,W51)</f>
        <v>21892</v>
      </c>
      <c r="X7" s="492">
        <f>SUM(X8,X19,X30,X41,X51)</f>
        <v>329587</v>
      </c>
      <c r="Y7" s="936">
        <f>SUM(Y8,Y19,Y30,Y41,Y51)</f>
        <v>509536</v>
      </c>
    </row>
    <row r="8" spans="1:25" ht="18" customHeight="1">
      <c r="A8" s="183" t="s">
        <v>339</v>
      </c>
      <c r="B8" s="192">
        <f aca="true" t="shared" si="1" ref="B8:K8">SUM(B9:B15)</f>
        <v>141184</v>
      </c>
      <c r="C8" s="192">
        <f t="shared" si="1"/>
        <v>192103</v>
      </c>
      <c r="D8" s="192">
        <f t="shared" si="1"/>
        <v>178781</v>
      </c>
      <c r="E8" s="192">
        <f t="shared" si="1"/>
        <v>163728</v>
      </c>
      <c r="F8" s="192">
        <f t="shared" si="1"/>
        <v>200565</v>
      </c>
      <c r="G8" s="192">
        <f t="shared" si="1"/>
        <v>205862</v>
      </c>
      <c r="H8" s="192">
        <f t="shared" si="1"/>
        <v>192443</v>
      </c>
      <c r="I8" s="192">
        <f t="shared" si="1"/>
        <v>211791</v>
      </c>
      <c r="J8" s="192">
        <f t="shared" si="1"/>
        <v>224181</v>
      </c>
      <c r="K8" s="192">
        <f t="shared" si="1"/>
        <v>212748</v>
      </c>
      <c r="L8" s="192">
        <f aca="true" t="shared" si="2" ref="L8:S8">SUM(L9:L18)</f>
        <v>191085</v>
      </c>
      <c r="M8" s="192">
        <f t="shared" si="2"/>
        <v>213574</v>
      </c>
      <c r="N8" s="192">
        <f t="shared" si="2"/>
        <v>203550</v>
      </c>
      <c r="O8" s="192">
        <f t="shared" si="2"/>
        <v>222788</v>
      </c>
      <c r="P8" s="192">
        <f t="shared" si="2"/>
        <v>193728</v>
      </c>
      <c r="Q8" s="192">
        <f t="shared" si="2"/>
        <v>225855</v>
      </c>
      <c r="R8" s="192">
        <f t="shared" si="2"/>
        <v>241050</v>
      </c>
      <c r="S8" s="192">
        <f t="shared" si="2"/>
        <v>225859</v>
      </c>
      <c r="T8" s="192">
        <f>SUM(T9:T18)</f>
        <v>222361</v>
      </c>
      <c r="U8" s="192">
        <f>SUM(U9:U18)</f>
        <v>245047</v>
      </c>
      <c r="V8" s="192">
        <f>SUM(V9:V18)</f>
        <v>19497</v>
      </c>
      <c r="W8" s="192">
        <f>SUM(W9:W18)</f>
        <v>12080</v>
      </c>
      <c r="X8" s="192">
        <f>SUM(X9:X18)</f>
        <v>200221</v>
      </c>
      <c r="Y8" s="482">
        <f>SUM(Y9:Y18)</f>
        <v>334150</v>
      </c>
    </row>
    <row r="9" spans="1:25" ht="18" customHeight="1">
      <c r="A9" s="179" t="s">
        <v>340</v>
      </c>
      <c r="B9" s="181">
        <v>132577</v>
      </c>
      <c r="C9" s="181">
        <v>178227</v>
      </c>
      <c r="D9" s="181">
        <v>173907</v>
      </c>
      <c r="E9" s="181">
        <v>156443</v>
      </c>
      <c r="F9" s="181">
        <v>185394</v>
      </c>
      <c r="G9" s="181">
        <v>184415</v>
      </c>
      <c r="H9" s="181">
        <v>171620</v>
      </c>
      <c r="I9" s="181">
        <v>201913</v>
      </c>
      <c r="J9" s="181">
        <v>215502</v>
      </c>
      <c r="K9" s="181">
        <v>197927</v>
      </c>
      <c r="L9" s="181">
        <v>176415</v>
      </c>
      <c r="M9" s="181">
        <v>199671</v>
      </c>
      <c r="N9" s="181">
        <v>193325</v>
      </c>
      <c r="O9" s="170">
        <v>209734</v>
      </c>
      <c r="P9" s="170">
        <v>181563</v>
      </c>
      <c r="Q9" s="170">
        <v>215916</v>
      </c>
      <c r="R9" s="170">
        <v>221684</v>
      </c>
      <c r="S9" s="181">
        <v>212142</v>
      </c>
      <c r="T9" s="181">
        <v>212316</v>
      </c>
      <c r="U9" s="181">
        <v>235233</v>
      </c>
      <c r="V9" s="181">
        <v>18630</v>
      </c>
      <c r="W9" s="181">
        <v>12080</v>
      </c>
      <c r="X9" s="182">
        <v>196822</v>
      </c>
      <c r="Y9" s="182">
        <v>323543</v>
      </c>
    </row>
    <row r="10" spans="1:25" ht="18" customHeight="1">
      <c r="A10" s="179" t="s">
        <v>341</v>
      </c>
      <c r="B10" s="181">
        <v>8607</v>
      </c>
      <c r="C10" s="181">
        <v>13876</v>
      </c>
      <c r="D10" s="181">
        <v>4874</v>
      </c>
      <c r="E10" s="181">
        <v>7285</v>
      </c>
      <c r="F10" s="181">
        <v>7091</v>
      </c>
      <c r="G10" s="181">
        <v>9797</v>
      </c>
      <c r="H10" s="181">
        <v>11697</v>
      </c>
      <c r="I10" s="181">
        <v>7978</v>
      </c>
      <c r="J10" s="181">
        <v>8145</v>
      </c>
      <c r="K10" s="181">
        <v>6139</v>
      </c>
      <c r="L10" s="181">
        <v>8134</v>
      </c>
      <c r="M10" s="181">
        <v>8165</v>
      </c>
      <c r="N10" s="181">
        <v>8755</v>
      </c>
      <c r="O10" s="170">
        <v>7223</v>
      </c>
      <c r="P10" s="170">
        <v>8084</v>
      </c>
      <c r="Q10" s="170">
        <v>6116</v>
      </c>
      <c r="R10" s="170">
        <v>7751</v>
      </c>
      <c r="S10" s="181">
        <v>4833</v>
      </c>
      <c r="T10" s="181">
        <v>6055</v>
      </c>
      <c r="U10" s="181">
        <v>5516</v>
      </c>
      <c r="V10" s="181">
        <v>842</v>
      </c>
      <c r="W10" s="182" t="s">
        <v>90</v>
      </c>
      <c r="X10" s="182">
        <v>3399</v>
      </c>
      <c r="Y10" s="182">
        <v>5176</v>
      </c>
    </row>
    <row r="11" spans="1:25" ht="18" customHeight="1">
      <c r="A11" s="179" t="s">
        <v>343</v>
      </c>
      <c r="B11" s="181" t="s">
        <v>90</v>
      </c>
      <c r="C11" s="181" t="s">
        <v>90</v>
      </c>
      <c r="D11" s="181" t="s">
        <v>90</v>
      </c>
      <c r="E11" s="181" t="s">
        <v>90</v>
      </c>
      <c r="F11" s="181" t="s">
        <v>90</v>
      </c>
      <c r="G11" s="181" t="s">
        <v>90</v>
      </c>
      <c r="H11" s="181" t="s">
        <v>90</v>
      </c>
      <c r="I11" s="181" t="s">
        <v>90</v>
      </c>
      <c r="J11" s="181">
        <v>331</v>
      </c>
      <c r="K11" s="181" t="s">
        <v>90</v>
      </c>
      <c r="L11" s="181">
        <v>1764</v>
      </c>
      <c r="M11" s="181">
        <v>5023</v>
      </c>
      <c r="N11" s="181">
        <v>1317</v>
      </c>
      <c r="O11" s="170">
        <v>3878</v>
      </c>
      <c r="P11" s="170">
        <v>424</v>
      </c>
      <c r="Q11" s="170">
        <v>1280</v>
      </c>
      <c r="R11" s="170" t="s">
        <v>90</v>
      </c>
      <c r="S11" s="181">
        <v>1871</v>
      </c>
      <c r="T11" s="182">
        <v>3132</v>
      </c>
      <c r="U11" s="182">
        <v>3738</v>
      </c>
      <c r="V11" s="182">
        <v>25</v>
      </c>
      <c r="W11" s="182" t="s">
        <v>90</v>
      </c>
      <c r="X11" s="182" t="s">
        <v>90</v>
      </c>
      <c r="Y11" s="182">
        <v>2219</v>
      </c>
    </row>
    <row r="12" spans="1:25" ht="18" customHeight="1">
      <c r="A12" s="179" t="s">
        <v>342</v>
      </c>
      <c r="B12" s="181" t="s">
        <v>90</v>
      </c>
      <c r="C12" s="181" t="s">
        <v>90</v>
      </c>
      <c r="D12" s="181" t="s">
        <v>90</v>
      </c>
      <c r="E12" s="181" t="s">
        <v>90</v>
      </c>
      <c r="F12" s="181" t="s">
        <v>90</v>
      </c>
      <c r="G12" s="181" t="s">
        <v>90</v>
      </c>
      <c r="H12" s="181" t="s">
        <v>90</v>
      </c>
      <c r="I12" s="181" t="s">
        <v>90</v>
      </c>
      <c r="J12" s="181">
        <v>203</v>
      </c>
      <c r="K12" s="181">
        <v>5842</v>
      </c>
      <c r="L12" s="181" t="s">
        <v>90</v>
      </c>
      <c r="M12" s="181">
        <v>215</v>
      </c>
      <c r="N12" s="210" t="s">
        <v>90</v>
      </c>
      <c r="O12" s="210" t="s">
        <v>90</v>
      </c>
      <c r="P12" s="210" t="s">
        <v>90</v>
      </c>
      <c r="Q12" s="170" t="s">
        <v>90</v>
      </c>
      <c r="R12" s="170">
        <v>4388</v>
      </c>
      <c r="S12" s="181">
        <v>3789</v>
      </c>
      <c r="T12" s="182" t="s">
        <v>90</v>
      </c>
      <c r="U12" s="182" t="s">
        <v>90</v>
      </c>
      <c r="V12" s="182" t="s">
        <v>90</v>
      </c>
      <c r="W12" s="182" t="s">
        <v>90</v>
      </c>
      <c r="X12" s="182" t="s">
        <v>90</v>
      </c>
      <c r="Y12" s="937" t="s">
        <v>90</v>
      </c>
    </row>
    <row r="13" spans="1:25" ht="18" customHeight="1">
      <c r="A13" s="188" t="s">
        <v>354</v>
      </c>
      <c r="B13" s="181" t="s">
        <v>90</v>
      </c>
      <c r="C13" s="181" t="s">
        <v>90</v>
      </c>
      <c r="D13" s="181" t="s">
        <v>90</v>
      </c>
      <c r="E13" s="181" t="s">
        <v>90</v>
      </c>
      <c r="F13" s="181" t="s">
        <v>90</v>
      </c>
      <c r="G13" s="181" t="s">
        <v>90</v>
      </c>
      <c r="H13" s="181" t="s">
        <v>90</v>
      </c>
      <c r="I13" s="181" t="s">
        <v>90</v>
      </c>
      <c r="J13" s="181" t="s">
        <v>90</v>
      </c>
      <c r="K13" s="181" t="s">
        <v>90</v>
      </c>
      <c r="L13" s="181" t="s">
        <v>90</v>
      </c>
      <c r="M13" s="181" t="s">
        <v>90</v>
      </c>
      <c r="N13" s="181" t="s">
        <v>90</v>
      </c>
      <c r="O13" s="181" t="s">
        <v>90</v>
      </c>
      <c r="P13" s="181" t="s">
        <v>90</v>
      </c>
      <c r="Q13" s="181" t="s">
        <v>90</v>
      </c>
      <c r="R13" s="181" t="s">
        <v>90</v>
      </c>
      <c r="S13" s="181">
        <v>2254</v>
      </c>
      <c r="T13" s="182" t="s">
        <v>90</v>
      </c>
      <c r="U13" s="182" t="s">
        <v>90</v>
      </c>
      <c r="V13" s="182" t="s">
        <v>90</v>
      </c>
      <c r="W13" s="182" t="s">
        <v>90</v>
      </c>
      <c r="X13" s="182" t="s">
        <v>90</v>
      </c>
      <c r="Y13" s="937" t="s">
        <v>90</v>
      </c>
    </row>
    <row r="14" spans="1:25" ht="18" customHeight="1">
      <c r="A14" s="179" t="s">
        <v>344</v>
      </c>
      <c r="B14" s="181" t="s">
        <v>90</v>
      </c>
      <c r="C14" s="181" t="s">
        <v>90</v>
      </c>
      <c r="D14" s="181" t="s">
        <v>90</v>
      </c>
      <c r="E14" s="181" t="s">
        <v>90</v>
      </c>
      <c r="F14" s="181">
        <v>2000</v>
      </c>
      <c r="G14" s="181">
        <v>3700</v>
      </c>
      <c r="H14" s="181">
        <v>2576</v>
      </c>
      <c r="I14" s="181" t="s">
        <v>90</v>
      </c>
      <c r="J14" s="181" t="s">
        <v>90</v>
      </c>
      <c r="K14" s="181">
        <v>2840</v>
      </c>
      <c r="L14" s="181" t="s">
        <v>90</v>
      </c>
      <c r="M14" s="181" t="s">
        <v>90</v>
      </c>
      <c r="N14" s="181" t="s">
        <v>90</v>
      </c>
      <c r="O14" s="170" t="s">
        <v>90</v>
      </c>
      <c r="P14" s="170" t="s">
        <v>90</v>
      </c>
      <c r="Q14" s="170" t="s">
        <v>90</v>
      </c>
      <c r="R14" s="170" t="s">
        <v>90</v>
      </c>
      <c r="S14" s="181" t="s">
        <v>90</v>
      </c>
      <c r="T14" s="182" t="s">
        <v>90</v>
      </c>
      <c r="U14" s="182" t="s">
        <v>90</v>
      </c>
      <c r="V14" s="182" t="s">
        <v>90</v>
      </c>
      <c r="W14" s="182" t="s">
        <v>90</v>
      </c>
      <c r="X14" s="182" t="s">
        <v>90</v>
      </c>
      <c r="Y14" s="937" t="s">
        <v>90</v>
      </c>
    </row>
    <row r="15" spans="1:25" ht="18" customHeight="1">
      <c r="A15" s="179" t="s">
        <v>345</v>
      </c>
      <c r="B15" s="181" t="s">
        <v>90</v>
      </c>
      <c r="C15" s="181" t="s">
        <v>90</v>
      </c>
      <c r="D15" s="181" t="s">
        <v>90</v>
      </c>
      <c r="E15" s="181" t="s">
        <v>90</v>
      </c>
      <c r="F15" s="181">
        <v>6080</v>
      </c>
      <c r="G15" s="181">
        <v>7950</v>
      </c>
      <c r="H15" s="181">
        <v>6550</v>
      </c>
      <c r="I15" s="181">
        <v>1900</v>
      </c>
      <c r="J15" s="181" t="s">
        <v>90</v>
      </c>
      <c r="K15" s="181" t="s">
        <v>90</v>
      </c>
      <c r="L15" s="181" t="s">
        <v>90</v>
      </c>
      <c r="M15" s="181" t="s">
        <v>90</v>
      </c>
      <c r="N15" s="181" t="s">
        <v>90</v>
      </c>
      <c r="O15" s="170" t="s">
        <v>90</v>
      </c>
      <c r="P15" s="170">
        <v>3657</v>
      </c>
      <c r="Q15" s="170">
        <v>2543</v>
      </c>
      <c r="R15" s="170">
        <v>6705</v>
      </c>
      <c r="S15" s="181">
        <v>430</v>
      </c>
      <c r="T15" s="182" t="s">
        <v>90</v>
      </c>
      <c r="U15" s="182">
        <v>400</v>
      </c>
      <c r="V15" s="182" t="s">
        <v>90</v>
      </c>
      <c r="W15" s="182" t="s">
        <v>90</v>
      </c>
      <c r="X15" s="182" t="s">
        <v>90</v>
      </c>
      <c r="Y15" s="937" t="s">
        <v>90</v>
      </c>
    </row>
    <row r="16" spans="1:25" ht="18" customHeight="1">
      <c r="A16" s="188" t="s">
        <v>346</v>
      </c>
      <c r="B16" s="181" t="s">
        <v>90</v>
      </c>
      <c r="C16" s="181" t="s">
        <v>90</v>
      </c>
      <c r="D16" s="181" t="s">
        <v>90</v>
      </c>
      <c r="E16" s="181" t="s">
        <v>90</v>
      </c>
      <c r="F16" s="181" t="s">
        <v>90</v>
      </c>
      <c r="G16" s="181" t="s">
        <v>90</v>
      </c>
      <c r="H16" s="181" t="s">
        <v>90</v>
      </c>
      <c r="I16" s="181" t="s">
        <v>90</v>
      </c>
      <c r="J16" s="181" t="s">
        <v>90</v>
      </c>
      <c r="K16" s="181" t="s">
        <v>90</v>
      </c>
      <c r="L16" s="181">
        <v>92</v>
      </c>
      <c r="M16" s="181" t="s">
        <v>90</v>
      </c>
      <c r="N16" s="181" t="s">
        <v>90</v>
      </c>
      <c r="O16" s="170" t="s">
        <v>90</v>
      </c>
      <c r="P16" s="170" t="s">
        <v>90</v>
      </c>
      <c r="Q16" s="170" t="s">
        <v>90</v>
      </c>
      <c r="R16" s="170">
        <v>52</v>
      </c>
      <c r="S16" s="181" t="s">
        <v>90</v>
      </c>
      <c r="T16" s="182">
        <v>84</v>
      </c>
      <c r="U16" s="182" t="s">
        <v>90</v>
      </c>
      <c r="V16" s="182" t="s">
        <v>90</v>
      </c>
      <c r="W16" s="182" t="s">
        <v>90</v>
      </c>
      <c r="X16" s="182" t="s">
        <v>90</v>
      </c>
      <c r="Y16" s="937" t="s">
        <v>90</v>
      </c>
    </row>
    <row r="17" spans="1:25" ht="18" customHeight="1">
      <c r="A17" s="179" t="s">
        <v>518</v>
      </c>
      <c r="B17" s="181"/>
      <c r="C17" s="181"/>
      <c r="D17" s="181"/>
      <c r="E17" s="181"/>
      <c r="F17" s="181"/>
      <c r="G17" s="181"/>
      <c r="H17" s="181"/>
      <c r="I17" s="181"/>
      <c r="J17" s="181"/>
      <c r="K17" s="181"/>
      <c r="L17" s="181"/>
      <c r="M17" s="181"/>
      <c r="N17" s="181"/>
      <c r="O17" s="170"/>
      <c r="P17" s="170"/>
      <c r="Q17" s="170"/>
      <c r="R17" s="170"/>
      <c r="S17" s="181"/>
      <c r="T17" s="182"/>
      <c r="U17" s="182"/>
      <c r="V17" s="182"/>
      <c r="W17" s="182"/>
      <c r="X17" s="182"/>
      <c r="Y17" s="937">
        <v>52</v>
      </c>
    </row>
    <row r="18" spans="1:25" ht="18" customHeight="1">
      <c r="A18" s="188" t="s">
        <v>578</v>
      </c>
      <c r="B18" s="181" t="s">
        <v>90</v>
      </c>
      <c r="C18" s="181" t="s">
        <v>90</v>
      </c>
      <c r="D18" s="181" t="s">
        <v>90</v>
      </c>
      <c r="E18" s="181" t="s">
        <v>90</v>
      </c>
      <c r="F18" s="181" t="s">
        <v>90</v>
      </c>
      <c r="G18" s="181" t="s">
        <v>90</v>
      </c>
      <c r="H18" s="181" t="s">
        <v>90</v>
      </c>
      <c r="I18" s="181" t="s">
        <v>90</v>
      </c>
      <c r="J18" s="181" t="s">
        <v>90</v>
      </c>
      <c r="K18" s="181" t="s">
        <v>90</v>
      </c>
      <c r="L18" s="181">
        <v>4680</v>
      </c>
      <c r="M18" s="181">
        <v>500</v>
      </c>
      <c r="N18" s="181">
        <v>153</v>
      </c>
      <c r="O18" s="170">
        <v>1953</v>
      </c>
      <c r="P18" s="170" t="s">
        <v>90</v>
      </c>
      <c r="Q18" s="170" t="s">
        <v>90</v>
      </c>
      <c r="R18" s="170">
        <v>470</v>
      </c>
      <c r="S18" s="181">
        <v>540</v>
      </c>
      <c r="T18" s="182">
        <v>774</v>
      </c>
      <c r="U18" s="182">
        <v>160</v>
      </c>
      <c r="V18" s="182" t="s">
        <v>90</v>
      </c>
      <c r="W18" s="182" t="s">
        <v>90</v>
      </c>
      <c r="X18" s="182" t="s">
        <v>90</v>
      </c>
      <c r="Y18" s="937">
        <v>3160</v>
      </c>
    </row>
    <row r="19" spans="1:25" ht="18" customHeight="1">
      <c r="A19" s="183" t="s">
        <v>347</v>
      </c>
      <c r="B19" s="177">
        <f aca="true" t="shared" si="3" ref="B19:K19">SUM(B20:B27)</f>
        <v>35032</v>
      </c>
      <c r="C19" s="177">
        <f t="shared" si="3"/>
        <v>45124</v>
      </c>
      <c r="D19" s="177">
        <f t="shared" si="3"/>
        <v>74784</v>
      </c>
      <c r="E19" s="177">
        <f t="shared" si="3"/>
        <v>94895</v>
      </c>
      <c r="F19" s="177">
        <f t="shared" si="3"/>
        <v>87055</v>
      </c>
      <c r="G19" s="177">
        <f t="shared" si="3"/>
        <v>70565</v>
      </c>
      <c r="H19" s="177">
        <f t="shared" si="3"/>
        <v>48344</v>
      </c>
      <c r="I19" s="177">
        <f t="shared" si="3"/>
        <v>57853</v>
      </c>
      <c r="J19" s="177">
        <f t="shared" si="3"/>
        <v>68945</v>
      </c>
      <c r="K19" s="177">
        <f t="shared" si="3"/>
        <v>72787</v>
      </c>
      <c r="L19" s="177">
        <f aca="true" t="shared" si="4" ref="L19:S19">SUM(L20:L29)</f>
        <v>61504</v>
      </c>
      <c r="M19" s="177">
        <f t="shared" si="4"/>
        <v>71871</v>
      </c>
      <c r="N19" s="177">
        <f t="shared" si="4"/>
        <v>57953</v>
      </c>
      <c r="O19" s="177">
        <f t="shared" si="4"/>
        <v>46975</v>
      </c>
      <c r="P19" s="177">
        <f t="shared" si="4"/>
        <v>48760</v>
      </c>
      <c r="Q19" s="177">
        <f t="shared" si="4"/>
        <v>68137</v>
      </c>
      <c r="R19" s="177">
        <f t="shared" si="4"/>
        <v>55528</v>
      </c>
      <c r="S19" s="177">
        <f t="shared" si="4"/>
        <v>65760</v>
      </c>
      <c r="T19" s="192">
        <f>SUM(T20:T29)</f>
        <v>67857</v>
      </c>
      <c r="U19" s="192">
        <f>SUM(U20:U29)</f>
        <v>58870</v>
      </c>
      <c r="V19" s="192">
        <f>SUM(V20:V29)</f>
        <v>14923</v>
      </c>
      <c r="W19" s="192">
        <f>SUM(W20:W29)</f>
        <v>4052</v>
      </c>
      <c r="X19" s="192">
        <f>SUM(X20:X29)</f>
        <v>35747</v>
      </c>
      <c r="Y19" s="482">
        <f>SUM(Y20:Y29)</f>
        <v>49105</v>
      </c>
    </row>
    <row r="20" spans="1:25" ht="18" customHeight="1">
      <c r="A20" s="179" t="s">
        <v>348</v>
      </c>
      <c r="B20" s="181">
        <v>9940</v>
      </c>
      <c r="C20" s="181">
        <v>12707</v>
      </c>
      <c r="D20" s="181">
        <v>11190</v>
      </c>
      <c r="E20" s="181">
        <v>7597</v>
      </c>
      <c r="F20" s="181">
        <v>6338</v>
      </c>
      <c r="G20" s="181">
        <v>9330</v>
      </c>
      <c r="H20" s="181">
        <v>11817</v>
      </c>
      <c r="I20" s="181">
        <v>9051</v>
      </c>
      <c r="J20" s="181">
        <v>11187</v>
      </c>
      <c r="K20" s="181">
        <v>11100</v>
      </c>
      <c r="L20" s="181">
        <v>7209</v>
      </c>
      <c r="M20" s="181">
        <v>16023</v>
      </c>
      <c r="N20" s="181">
        <v>8245</v>
      </c>
      <c r="O20" s="170">
        <v>10861</v>
      </c>
      <c r="P20" s="170">
        <v>7833</v>
      </c>
      <c r="Q20" s="210">
        <v>6868</v>
      </c>
      <c r="R20" s="210">
        <v>7982</v>
      </c>
      <c r="S20" s="182">
        <v>10384</v>
      </c>
      <c r="T20" s="181">
        <v>10514</v>
      </c>
      <c r="U20" s="181">
        <v>9893</v>
      </c>
      <c r="V20" s="181">
        <v>3443</v>
      </c>
      <c r="W20" s="182" t="s">
        <v>90</v>
      </c>
      <c r="X20" s="182">
        <v>5616</v>
      </c>
      <c r="Y20" s="937">
        <v>10253</v>
      </c>
    </row>
    <row r="21" spans="1:25" ht="18" customHeight="1">
      <c r="A21" s="179" t="s">
        <v>342</v>
      </c>
      <c r="B21" s="181">
        <v>21159</v>
      </c>
      <c r="C21" s="181">
        <v>21439</v>
      </c>
      <c r="D21" s="181">
        <v>59275</v>
      </c>
      <c r="E21" s="181">
        <v>76546</v>
      </c>
      <c r="F21" s="181">
        <v>46764</v>
      </c>
      <c r="G21" s="181">
        <v>30657</v>
      </c>
      <c r="H21" s="181">
        <v>19651</v>
      </c>
      <c r="I21" s="181">
        <v>26223</v>
      </c>
      <c r="J21" s="181">
        <v>27920</v>
      </c>
      <c r="K21" s="181">
        <v>30267</v>
      </c>
      <c r="L21" s="181">
        <v>23263</v>
      </c>
      <c r="M21" s="181">
        <v>26491</v>
      </c>
      <c r="N21" s="181">
        <v>31371</v>
      </c>
      <c r="O21" s="170">
        <v>18156</v>
      </c>
      <c r="P21" s="170">
        <v>24420</v>
      </c>
      <c r="Q21" s="170">
        <v>28401</v>
      </c>
      <c r="R21" s="170">
        <v>22112</v>
      </c>
      <c r="S21" s="182">
        <v>30728</v>
      </c>
      <c r="T21" s="181">
        <v>34188</v>
      </c>
      <c r="U21" s="181">
        <v>30816</v>
      </c>
      <c r="V21" s="181">
        <v>6336</v>
      </c>
      <c r="W21" s="181">
        <v>1792</v>
      </c>
      <c r="X21" s="181">
        <v>16760</v>
      </c>
      <c r="Y21" s="465">
        <v>21659</v>
      </c>
    </row>
    <row r="22" spans="1:25" ht="18" customHeight="1">
      <c r="A22" s="179" t="s">
        <v>343</v>
      </c>
      <c r="B22" s="181" t="s">
        <v>90</v>
      </c>
      <c r="C22" s="181" t="s">
        <v>90</v>
      </c>
      <c r="D22" s="181" t="s">
        <v>90</v>
      </c>
      <c r="E22" s="181" t="s">
        <v>90</v>
      </c>
      <c r="F22" s="181" t="s">
        <v>90</v>
      </c>
      <c r="G22" s="181" t="s">
        <v>90</v>
      </c>
      <c r="H22" s="181" t="s">
        <v>90</v>
      </c>
      <c r="I22" s="181" t="s">
        <v>90</v>
      </c>
      <c r="J22" s="181" t="s">
        <v>90</v>
      </c>
      <c r="K22" s="181">
        <v>610</v>
      </c>
      <c r="L22" s="181">
        <v>322</v>
      </c>
      <c r="M22" s="181">
        <v>593</v>
      </c>
      <c r="N22" s="210" t="s">
        <v>90</v>
      </c>
      <c r="O22" s="210">
        <v>1467</v>
      </c>
      <c r="P22" s="210">
        <v>1607</v>
      </c>
      <c r="Q22" s="210">
        <v>782</v>
      </c>
      <c r="R22" s="210">
        <v>897</v>
      </c>
      <c r="S22" s="182">
        <v>1508</v>
      </c>
      <c r="T22" s="182">
        <v>4718</v>
      </c>
      <c r="U22" s="182">
        <v>3129</v>
      </c>
      <c r="V22" s="182">
        <v>545</v>
      </c>
      <c r="W22" s="182" t="s">
        <v>90</v>
      </c>
      <c r="X22" s="182">
        <v>577</v>
      </c>
      <c r="Y22" s="937"/>
    </row>
    <row r="23" spans="1:25" ht="18" customHeight="1">
      <c r="A23" s="188" t="s">
        <v>341</v>
      </c>
      <c r="B23" s="181" t="s">
        <v>90</v>
      </c>
      <c r="C23" s="181" t="s">
        <v>90</v>
      </c>
      <c r="D23" s="181" t="s">
        <v>90</v>
      </c>
      <c r="E23" s="181" t="s">
        <v>90</v>
      </c>
      <c r="F23" s="181" t="s">
        <v>90</v>
      </c>
      <c r="G23" s="181" t="s">
        <v>90</v>
      </c>
      <c r="H23" s="181" t="s">
        <v>90</v>
      </c>
      <c r="I23" s="181" t="s">
        <v>90</v>
      </c>
      <c r="J23" s="181" t="s">
        <v>90</v>
      </c>
      <c r="K23" s="181" t="s">
        <v>90</v>
      </c>
      <c r="L23" s="181" t="s">
        <v>90</v>
      </c>
      <c r="M23" s="181" t="s">
        <v>90</v>
      </c>
      <c r="N23" s="210">
        <v>80</v>
      </c>
      <c r="O23" s="210">
        <v>93</v>
      </c>
      <c r="P23" s="210">
        <v>36</v>
      </c>
      <c r="Q23" s="210" t="s">
        <v>90</v>
      </c>
      <c r="R23" s="210" t="s">
        <v>90</v>
      </c>
      <c r="S23" s="182">
        <v>812</v>
      </c>
      <c r="T23" s="182" t="s">
        <v>90</v>
      </c>
      <c r="U23" s="182" t="s">
        <v>90</v>
      </c>
      <c r="V23" s="182" t="s">
        <v>90</v>
      </c>
      <c r="W23" s="182" t="s">
        <v>90</v>
      </c>
      <c r="X23" s="182">
        <v>114</v>
      </c>
      <c r="Y23" s="937">
        <v>114</v>
      </c>
    </row>
    <row r="24" spans="1:25" ht="18" customHeight="1">
      <c r="A24" s="188" t="s">
        <v>518</v>
      </c>
      <c r="B24" s="181" t="s">
        <v>90</v>
      </c>
      <c r="C24" s="181" t="s">
        <v>90</v>
      </c>
      <c r="D24" s="181" t="s">
        <v>90</v>
      </c>
      <c r="E24" s="181" t="s">
        <v>90</v>
      </c>
      <c r="F24" s="181" t="s">
        <v>90</v>
      </c>
      <c r="G24" s="181" t="s">
        <v>90</v>
      </c>
      <c r="H24" s="181" t="s">
        <v>90</v>
      </c>
      <c r="I24" s="181" t="s">
        <v>90</v>
      </c>
      <c r="J24" s="181" t="s">
        <v>90</v>
      </c>
      <c r="K24" s="181">
        <v>54</v>
      </c>
      <c r="L24" s="181" t="s">
        <v>90</v>
      </c>
      <c r="M24" s="181" t="s">
        <v>90</v>
      </c>
      <c r="N24" s="210" t="s">
        <v>90</v>
      </c>
      <c r="O24" s="210">
        <v>283</v>
      </c>
      <c r="P24" s="210" t="s">
        <v>90</v>
      </c>
      <c r="Q24" s="210">
        <v>387</v>
      </c>
      <c r="R24" s="210">
        <v>204</v>
      </c>
      <c r="S24" s="182">
        <v>397</v>
      </c>
      <c r="T24" s="182" t="s">
        <v>90</v>
      </c>
      <c r="U24" s="182">
        <v>42</v>
      </c>
      <c r="V24" s="182">
        <v>326</v>
      </c>
      <c r="W24" s="182" t="s">
        <v>90</v>
      </c>
      <c r="X24" s="182">
        <v>312</v>
      </c>
      <c r="Y24" s="937">
        <v>155</v>
      </c>
    </row>
    <row r="25" spans="1:25" ht="18" customHeight="1">
      <c r="A25" s="188" t="s">
        <v>579</v>
      </c>
      <c r="B25" s="181" t="s">
        <v>90</v>
      </c>
      <c r="C25" s="181" t="s">
        <v>90</v>
      </c>
      <c r="D25" s="181" t="s">
        <v>90</v>
      </c>
      <c r="E25" s="181" t="s">
        <v>90</v>
      </c>
      <c r="F25" s="181" t="s">
        <v>90</v>
      </c>
      <c r="G25" s="181" t="s">
        <v>90</v>
      </c>
      <c r="H25" s="181" t="s">
        <v>90</v>
      </c>
      <c r="I25" s="181" t="s">
        <v>90</v>
      </c>
      <c r="J25" s="181">
        <v>4480</v>
      </c>
      <c r="K25" s="181">
        <v>2231</v>
      </c>
      <c r="L25" s="181">
        <v>5121</v>
      </c>
      <c r="M25" s="181">
        <v>1048</v>
      </c>
      <c r="N25" s="181">
        <v>2397</v>
      </c>
      <c r="O25" s="170">
        <v>2378</v>
      </c>
      <c r="P25" s="170">
        <v>1638</v>
      </c>
      <c r="Q25" s="170">
        <v>2560</v>
      </c>
      <c r="R25" s="170">
        <v>595</v>
      </c>
      <c r="S25" s="182">
        <v>2946</v>
      </c>
      <c r="T25" s="181">
        <v>3643</v>
      </c>
      <c r="U25" s="181">
        <v>4584</v>
      </c>
      <c r="V25" s="181">
        <v>322</v>
      </c>
      <c r="W25" s="182" t="s">
        <v>90</v>
      </c>
      <c r="X25" s="182">
        <v>1322</v>
      </c>
      <c r="Y25" s="937">
        <v>1055</v>
      </c>
    </row>
    <row r="26" spans="1:25" ht="18" customHeight="1">
      <c r="A26" s="179" t="s">
        <v>346</v>
      </c>
      <c r="B26" s="181">
        <v>3933</v>
      </c>
      <c r="C26" s="181">
        <v>10978</v>
      </c>
      <c r="D26" s="181">
        <v>4319</v>
      </c>
      <c r="E26" s="181">
        <v>10752</v>
      </c>
      <c r="F26" s="181">
        <v>11445</v>
      </c>
      <c r="G26" s="181">
        <v>11217</v>
      </c>
      <c r="H26" s="181">
        <v>6266</v>
      </c>
      <c r="I26" s="181">
        <v>5803</v>
      </c>
      <c r="J26" s="181">
        <v>548</v>
      </c>
      <c r="K26" s="181">
        <v>7735</v>
      </c>
      <c r="L26" s="181">
        <v>3284</v>
      </c>
      <c r="M26" s="181">
        <v>9066</v>
      </c>
      <c r="N26" s="181">
        <v>2531</v>
      </c>
      <c r="O26" s="170">
        <v>1607</v>
      </c>
      <c r="P26" s="170">
        <v>459</v>
      </c>
      <c r="Q26" s="210">
        <v>3884</v>
      </c>
      <c r="R26" s="210">
        <v>4814</v>
      </c>
      <c r="S26" s="182">
        <v>3607</v>
      </c>
      <c r="T26" s="182">
        <v>1938</v>
      </c>
      <c r="U26" s="182">
        <v>2069</v>
      </c>
      <c r="V26" s="182">
        <v>1581</v>
      </c>
      <c r="W26" s="182" t="s">
        <v>90</v>
      </c>
      <c r="X26" s="182">
        <v>1819</v>
      </c>
      <c r="Y26" s="937">
        <v>711</v>
      </c>
    </row>
    <row r="27" spans="1:25" ht="18" customHeight="1">
      <c r="A27" s="179" t="s">
        <v>345</v>
      </c>
      <c r="B27" s="181" t="s">
        <v>90</v>
      </c>
      <c r="C27" s="181" t="s">
        <v>90</v>
      </c>
      <c r="D27" s="181" t="s">
        <v>90</v>
      </c>
      <c r="E27" s="181" t="s">
        <v>90</v>
      </c>
      <c r="F27" s="181">
        <v>22508</v>
      </c>
      <c r="G27" s="181">
        <v>19361</v>
      </c>
      <c r="H27" s="181">
        <v>10610</v>
      </c>
      <c r="I27" s="181">
        <v>16776</v>
      </c>
      <c r="J27" s="181">
        <v>24810</v>
      </c>
      <c r="K27" s="181">
        <v>20790</v>
      </c>
      <c r="L27" s="181">
        <v>20935</v>
      </c>
      <c r="M27" s="181">
        <v>18650</v>
      </c>
      <c r="N27" s="181">
        <v>13329</v>
      </c>
      <c r="O27" s="170">
        <v>12130</v>
      </c>
      <c r="P27" s="170">
        <v>12480</v>
      </c>
      <c r="Q27" s="170">
        <v>25255</v>
      </c>
      <c r="R27" s="170">
        <v>18924</v>
      </c>
      <c r="S27" s="182">
        <v>15378</v>
      </c>
      <c r="T27" s="181">
        <v>11915</v>
      </c>
      <c r="U27" s="181">
        <v>6875</v>
      </c>
      <c r="V27" s="181">
        <v>1100</v>
      </c>
      <c r="W27" s="181">
        <v>1985</v>
      </c>
      <c r="X27" s="181">
        <v>9097</v>
      </c>
      <c r="Y27" s="465">
        <v>14790</v>
      </c>
    </row>
    <row r="28" spans="1:25" ht="18" customHeight="1">
      <c r="A28" s="188" t="s">
        <v>578</v>
      </c>
      <c r="B28" s="181" t="s">
        <v>90</v>
      </c>
      <c r="C28" s="181" t="s">
        <v>90</v>
      </c>
      <c r="D28" s="181" t="s">
        <v>90</v>
      </c>
      <c r="E28" s="181" t="s">
        <v>90</v>
      </c>
      <c r="F28" s="181" t="s">
        <v>90</v>
      </c>
      <c r="G28" s="181" t="s">
        <v>90</v>
      </c>
      <c r="H28" s="181" t="s">
        <v>90</v>
      </c>
      <c r="I28" s="181" t="s">
        <v>90</v>
      </c>
      <c r="J28" s="181" t="s">
        <v>90</v>
      </c>
      <c r="K28" s="181" t="s">
        <v>90</v>
      </c>
      <c r="L28" s="181">
        <v>1370</v>
      </c>
      <c r="M28" s="181" t="s">
        <v>90</v>
      </c>
      <c r="N28" s="181" t="s">
        <v>90</v>
      </c>
      <c r="O28" s="170" t="s">
        <v>90</v>
      </c>
      <c r="P28" s="170" t="s">
        <v>90</v>
      </c>
      <c r="Q28" s="210" t="s">
        <v>90</v>
      </c>
      <c r="R28" s="210" t="s">
        <v>90</v>
      </c>
      <c r="S28" s="182" t="s">
        <v>90</v>
      </c>
      <c r="T28" s="182">
        <v>941</v>
      </c>
      <c r="U28" s="182">
        <v>1462</v>
      </c>
      <c r="V28" s="182">
        <v>1270</v>
      </c>
      <c r="W28" s="182">
        <v>275</v>
      </c>
      <c r="X28" s="182">
        <v>60</v>
      </c>
      <c r="Y28" s="937">
        <v>368</v>
      </c>
    </row>
    <row r="29" spans="1:25" ht="18" customHeight="1">
      <c r="A29" s="188" t="s">
        <v>349</v>
      </c>
      <c r="B29" s="181" t="s">
        <v>90</v>
      </c>
      <c r="C29" s="181" t="s">
        <v>90</v>
      </c>
      <c r="D29" s="181" t="s">
        <v>90</v>
      </c>
      <c r="E29" s="181" t="s">
        <v>90</v>
      </c>
      <c r="F29" s="181" t="s">
        <v>90</v>
      </c>
      <c r="G29" s="181" t="s">
        <v>90</v>
      </c>
      <c r="H29" s="181" t="s">
        <v>90</v>
      </c>
      <c r="I29" s="181" t="s">
        <v>90</v>
      </c>
      <c r="J29" s="181" t="s">
        <v>90</v>
      </c>
      <c r="K29" s="181" t="s">
        <v>90</v>
      </c>
      <c r="L29" s="181" t="s">
        <v>90</v>
      </c>
      <c r="M29" s="181" t="s">
        <v>90</v>
      </c>
      <c r="N29" s="181" t="s">
        <v>90</v>
      </c>
      <c r="O29" s="170" t="s">
        <v>90</v>
      </c>
      <c r="P29" s="170">
        <v>287</v>
      </c>
      <c r="Q29" s="210" t="s">
        <v>90</v>
      </c>
      <c r="R29" s="210" t="s">
        <v>90</v>
      </c>
      <c r="S29" s="182" t="s">
        <v>90</v>
      </c>
      <c r="T29" s="182" t="s">
        <v>90</v>
      </c>
      <c r="U29" s="182" t="s">
        <v>90</v>
      </c>
      <c r="V29" s="182" t="s">
        <v>90</v>
      </c>
      <c r="W29" s="182" t="s">
        <v>90</v>
      </c>
      <c r="X29" s="182">
        <v>70</v>
      </c>
      <c r="Y29" s="937" t="s">
        <v>90</v>
      </c>
    </row>
    <row r="30" spans="1:25" ht="18" customHeight="1">
      <c r="A30" s="183" t="s">
        <v>350</v>
      </c>
      <c r="B30" s="177">
        <f aca="true" t="shared" si="5" ref="B30:K30">SUM(B31:B39)</f>
        <v>45755</v>
      </c>
      <c r="C30" s="177">
        <f t="shared" si="5"/>
        <v>60690</v>
      </c>
      <c r="D30" s="177">
        <f t="shared" si="5"/>
        <v>56433</v>
      </c>
      <c r="E30" s="177">
        <f t="shared" si="5"/>
        <v>78988</v>
      </c>
      <c r="F30" s="177">
        <f t="shared" si="5"/>
        <v>62502</v>
      </c>
      <c r="G30" s="177">
        <f t="shared" si="5"/>
        <v>60764</v>
      </c>
      <c r="H30" s="177">
        <f t="shared" si="5"/>
        <v>90342</v>
      </c>
      <c r="I30" s="177">
        <f t="shared" si="5"/>
        <v>49504</v>
      </c>
      <c r="J30" s="177">
        <f t="shared" si="5"/>
        <v>75643</v>
      </c>
      <c r="K30" s="177">
        <f t="shared" si="5"/>
        <v>40601</v>
      </c>
      <c r="L30" s="177">
        <f aca="true" t="shared" si="6" ref="L30:S30">SUM(L31:L40)</f>
        <v>39268</v>
      </c>
      <c r="M30" s="177">
        <f t="shared" si="6"/>
        <v>45480</v>
      </c>
      <c r="N30" s="177">
        <f t="shared" si="6"/>
        <v>47057</v>
      </c>
      <c r="O30" s="177">
        <f t="shared" si="6"/>
        <v>47199</v>
      </c>
      <c r="P30" s="177">
        <f t="shared" si="6"/>
        <v>45253</v>
      </c>
      <c r="Q30" s="177">
        <f t="shared" si="6"/>
        <v>42299</v>
      </c>
      <c r="R30" s="177">
        <f t="shared" si="6"/>
        <v>43958</v>
      </c>
      <c r="S30" s="177">
        <f t="shared" si="6"/>
        <v>42039</v>
      </c>
      <c r="T30" s="192">
        <f>SUM(T31:T40)</f>
        <v>32282</v>
      </c>
      <c r="U30" s="192">
        <f>SUM(U31:U40)</f>
        <v>32879</v>
      </c>
      <c r="V30" s="192">
        <f>SUM(V31:V40)</f>
        <v>11108</v>
      </c>
      <c r="W30" s="192">
        <f>SUM(W31:W40)</f>
        <v>991</v>
      </c>
      <c r="X30" s="192">
        <f>SUM(X31:X40)</f>
        <v>26789</v>
      </c>
      <c r="Y30" s="482">
        <f>SUM(Y31:Y40)</f>
        <v>39982</v>
      </c>
    </row>
    <row r="31" spans="1:25" ht="18" customHeight="1">
      <c r="A31" s="179" t="s">
        <v>343</v>
      </c>
      <c r="B31" s="181">
        <v>45755</v>
      </c>
      <c r="C31" s="181">
        <v>60690</v>
      </c>
      <c r="D31" s="181">
        <v>56433</v>
      </c>
      <c r="E31" s="181">
        <v>78988</v>
      </c>
      <c r="F31" s="181">
        <v>62502</v>
      </c>
      <c r="G31" s="181">
        <v>56360</v>
      </c>
      <c r="H31" s="181">
        <v>69032</v>
      </c>
      <c r="I31" s="181">
        <v>49504</v>
      </c>
      <c r="J31" s="181">
        <v>37306</v>
      </c>
      <c r="K31" s="181">
        <v>38063</v>
      </c>
      <c r="L31" s="181">
        <v>31809</v>
      </c>
      <c r="M31" s="181">
        <v>40541</v>
      </c>
      <c r="N31" s="181">
        <v>39693</v>
      </c>
      <c r="O31" s="170">
        <v>42650</v>
      </c>
      <c r="P31" s="170">
        <v>43015</v>
      </c>
      <c r="Q31" s="170">
        <v>37280</v>
      </c>
      <c r="R31" s="170">
        <v>39827</v>
      </c>
      <c r="S31" s="181">
        <v>36606</v>
      </c>
      <c r="T31" s="181">
        <v>26176</v>
      </c>
      <c r="U31" s="181">
        <v>26668</v>
      </c>
      <c r="V31" s="181">
        <v>9430</v>
      </c>
      <c r="W31" s="181">
        <v>991</v>
      </c>
      <c r="X31" s="181">
        <v>24061</v>
      </c>
      <c r="Y31" s="465">
        <v>34385</v>
      </c>
    </row>
    <row r="32" spans="1:25" ht="18" customHeight="1">
      <c r="A32" s="188" t="s">
        <v>518</v>
      </c>
      <c r="B32" s="181" t="s">
        <v>90</v>
      </c>
      <c r="C32" s="181" t="s">
        <v>90</v>
      </c>
      <c r="D32" s="181" t="s">
        <v>90</v>
      </c>
      <c r="E32" s="181" t="s">
        <v>90</v>
      </c>
      <c r="F32" s="181" t="s">
        <v>90</v>
      </c>
      <c r="G32" s="181" t="s">
        <v>90</v>
      </c>
      <c r="H32" s="181" t="s">
        <v>90</v>
      </c>
      <c r="I32" s="181" t="s">
        <v>90</v>
      </c>
      <c r="J32" s="181" t="s">
        <v>90</v>
      </c>
      <c r="K32" s="181" t="s">
        <v>90</v>
      </c>
      <c r="L32" s="181">
        <v>4479</v>
      </c>
      <c r="M32" s="181">
        <v>3096</v>
      </c>
      <c r="N32" s="181">
        <v>4391</v>
      </c>
      <c r="O32" s="170">
        <v>3059</v>
      </c>
      <c r="P32" s="170">
        <v>1924</v>
      </c>
      <c r="Q32" s="170">
        <v>2569</v>
      </c>
      <c r="R32" s="170">
        <v>2909</v>
      </c>
      <c r="S32" s="181">
        <v>2175</v>
      </c>
      <c r="T32" s="181">
        <v>5566</v>
      </c>
      <c r="U32" s="181">
        <v>5731</v>
      </c>
      <c r="V32" s="181">
        <v>1678</v>
      </c>
      <c r="W32" s="182" t="s">
        <v>90</v>
      </c>
      <c r="X32" s="182">
        <v>2342</v>
      </c>
      <c r="Y32" s="937">
        <v>5447</v>
      </c>
    </row>
    <row r="33" spans="1:25" ht="18" customHeight="1">
      <c r="A33" s="179" t="s">
        <v>348</v>
      </c>
      <c r="B33" s="181" t="s">
        <v>90</v>
      </c>
      <c r="C33" s="181" t="s">
        <v>90</v>
      </c>
      <c r="D33" s="181" t="s">
        <v>90</v>
      </c>
      <c r="E33" s="181" t="s">
        <v>90</v>
      </c>
      <c r="F33" s="181" t="s">
        <v>90</v>
      </c>
      <c r="G33" s="181" t="s">
        <v>90</v>
      </c>
      <c r="H33" s="181" t="s">
        <v>90</v>
      </c>
      <c r="I33" s="181" t="s">
        <v>90</v>
      </c>
      <c r="J33" s="181">
        <v>1980</v>
      </c>
      <c r="K33" s="181">
        <v>720</v>
      </c>
      <c r="L33" s="181">
        <v>571</v>
      </c>
      <c r="M33" s="181">
        <v>76</v>
      </c>
      <c r="N33" s="210" t="s">
        <v>90</v>
      </c>
      <c r="O33" s="210" t="s">
        <v>90</v>
      </c>
      <c r="P33" s="210">
        <v>62</v>
      </c>
      <c r="Q33" s="170" t="s">
        <v>90</v>
      </c>
      <c r="R33" s="170" t="s">
        <v>90</v>
      </c>
      <c r="S33" s="181">
        <v>1289</v>
      </c>
      <c r="T33" s="182" t="s">
        <v>90</v>
      </c>
      <c r="U33" s="182" t="s">
        <v>90</v>
      </c>
      <c r="V33" s="182" t="s">
        <v>90</v>
      </c>
      <c r="W33" s="182" t="s">
        <v>90</v>
      </c>
      <c r="X33" s="182" t="s">
        <v>90</v>
      </c>
      <c r="Y33" s="937" t="s">
        <v>90</v>
      </c>
    </row>
    <row r="34" spans="1:25" ht="18" customHeight="1">
      <c r="A34" s="179" t="s">
        <v>340</v>
      </c>
      <c r="B34" s="181" t="s">
        <v>90</v>
      </c>
      <c r="C34" s="181" t="s">
        <v>90</v>
      </c>
      <c r="D34" s="181" t="s">
        <v>90</v>
      </c>
      <c r="E34" s="181" t="s">
        <v>90</v>
      </c>
      <c r="F34" s="181" t="s">
        <v>90</v>
      </c>
      <c r="G34" s="181" t="s">
        <v>90</v>
      </c>
      <c r="H34" s="181" t="s">
        <v>90</v>
      </c>
      <c r="I34" s="181" t="s">
        <v>90</v>
      </c>
      <c r="J34" s="181" t="s">
        <v>90</v>
      </c>
      <c r="K34" s="181" t="s">
        <v>90</v>
      </c>
      <c r="L34" s="181" t="s">
        <v>90</v>
      </c>
      <c r="M34" s="181" t="s">
        <v>90</v>
      </c>
      <c r="N34" s="181" t="s">
        <v>90</v>
      </c>
      <c r="O34" s="181" t="s">
        <v>90</v>
      </c>
      <c r="P34" s="181" t="s">
        <v>90</v>
      </c>
      <c r="Q34" s="181" t="s">
        <v>90</v>
      </c>
      <c r="R34" s="181" t="s">
        <v>90</v>
      </c>
      <c r="S34" s="182">
        <v>1865</v>
      </c>
      <c r="T34" s="182" t="s">
        <v>90</v>
      </c>
      <c r="U34" s="182" t="s">
        <v>90</v>
      </c>
      <c r="V34" s="182" t="s">
        <v>90</v>
      </c>
      <c r="W34" s="182" t="s">
        <v>90</v>
      </c>
      <c r="X34" s="182" t="s">
        <v>90</v>
      </c>
      <c r="Y34" s="937" t="s">
        <v>90</v>
      </c>
    </row>
    <row r="35" spans="1:25" ht="18" customHeight="1">
      <c r="A35" s="179" t="s">
        <v>341</v>
      </c>
      <c r="B35" s="181" t="s">
        <v>90</v>
      </c>
      <c r="C35" s="181" t="s">
        <v>90</v>
      </c>
      <c r="D35" s="181" t="s">
        <v>90</v>
      </c>
      <c r="E35" s="181" t="s">
        <v>90</v>
      </c>
      <c r="F35" s="181" t="s">
        <v>90</v>
      </c>
      <c r="G35" s="181" t="s">
        <v>90</v>
      </c>
      <c r="H35" s="181" t="s">
        <v>90</v>
      </c>
      <c r="I35" s="181" t="s">
        <v>90</v>
      </c>
      <c r="J35" s="181">
        <v>1280</v>
      </c>
      <c r="K35" s="181" t="s">
        <v>90</v>
      </c>
      <c r="L35" s="181" t="s">
        <v>90</v>
      </c>
      <c r="M35" s="181" t="s">
        <v>90</v>
      </c>
      <c r="N35" s="181" t="s">
        <v>90</v>
      </c>
      <c r="O35" s="170" t="s">
        <v>90</v>
      </c>
      <c r="P35" s="170" t="s">
        <v>90</v>
      </c>
      <c r="Q35" s="170" t="s">
        <v>90</v>
      </c>
      <c r="R35" s="170" t="s">
        <v>90</v>
      </c>
      <c r="S35" s="181" t="s">
        <v>90</v>
      </c>
      <c r="T35" s="182">
        <v>220</v>
      </c>
      <c r="U35" s="182" t="s">
        <v>90</v>
      </c>
      <c r="V35" s="182" t="s">
        <v>90</v>
      </c>
      <c r="W35" s="182" t="s">
        <v>90</v>
      </c>
      <c r="X35" s="182" t="s">
        <v>90</v>
      </c>
      <c r="Y35" s="937" t="s">
        <v>90</v>
      </c>
    </row>
    <row r="36" spans="1:25" ht="18" customHeight="1">
      <c r="A36" s="179" t="s">
        <v>342</v>
      </c>
      <c r="B36" s="181" t="s">
        <v>90</v>
      </c>
      <c r="C36" s="181" t="s">
        <v>90</v>
      </c>
      <c r="D36" s="181" t="s">
        <v>90</v>
      </c>
      <c r="E36" s="181" t="s">
        <v>90</v>
      </c>
      <c r="F36" s="181" t="s">
        <v>90</v>
      </c>
      <c r="G36" s="181" t="s">
        <v>90</v>
      </c>
      <c r="H36" s="181" t="s">
        <v>90</v>
      </c>
      <c r="I36" s="181" t="s">
        <v>90</v>
      </c>
      <c r="J36" s="181">
        <v>14697</v>
      </c>
      <c r="K36" s="181" t="s">
        <v>90</v>
      </c>
      <c r="L36" s="181">
        <v>506</v>
      </c>
      <c r="M36" s="181">
        <v>767</v>
      </c>
      <c r="N36" s="210" t="s">
        <v>90</v>
      </c>
      <c r="O36" s="210" t="s">
        <v>90</v>
      </c>
      <c r="P36" s="210" t="s">
        <v>90</v>
      </c>
      <c r="Q36" s="210" t="s">
        <v>90</v>
      </c>
      <c r="R36" s="210" t="s">
        <v>90</v>
      </c>
      <c r="S36" s="182" t="s">
        <v>90</v>
      </c>
      <c r="T36" s="182" t="s">
        <v>90</v>
      </c>
      <c r="U36" s="182" t="s">
        <v>90</v>
      </c>
      <c r="V36" s="182" t="s">
        <v>90</v>
      </c>
      <c r="W36" s="182" t="s">
        <v>90</v>
      </c>
      <c r="X36" s="182" t="s">
        <v>90</v>
      </c>
      <c r="Y36" s="937" t="s">
        <v>90</v>
      </c>
    </row>
    <row r="37" spans="1:25" ht="18" customHeight="1">
      <c r="A37" s="179" t="s">
        <v>346</v>
      </c>
      <c r="B37" s="181" t="s">
        <v>90</v>
      </c>
      <c r="C37" s="181" t="s">
        <v>90</v>
      </c>
      <c r="D37" s="181" t="s">
        <v>90</v>
      </c>
      <c r="E37" s="181" t="s">
        <v>90</v>
      </c>
      <c r="F37" s="181" t="s">
        <v>90</v>
      </c>
      <c r="G37" s="181" t="s">
        <v>90</v>
      </c>
      <c r="H37" s="181" t="s">
        <v>90</v>
      </c>
      <c r="I37" s="181" t="s">
        <v>90</v>
      </c>
      <c r="J37" s="181">
        <v>250</v>
      </c>
      <c r="K37" s="181" t="s">
        <v>90</v>
      </c>
      <c r="L37" s="181" t="s">
        <v>90</v>
      </c>
      <c r="M37" s="181" t="s">
        <v>90</v>
      </c>
      <c r="N37" s="181" t="s">
        <v>90</v>
      </c>
      <c r="O37" s="170" t="s">
        <v>90</v>
      </c>
      <c r="P37" s="170" t="s">
        <v>90</v>
      </c>
      <c r="Q37" s="170" t="s">
        <v>90</v>
      </c>
      <c r="R37" s="170" t="s">
        <v>90</v>
      </c>
      <c r="S37" s="181" t="s">
        <v>90</v>
      </c>
      <c r="T37" s="182" t="s">
        <v>90</v>
      </c>
      <c r="U37" s="182" t="s">
        <v>90</v>
      </c>
      <c r="V37" s="182" t="s">
        <v>90</v>
      </c>
      <c r="W37" s="182" t="s">
        <v>90</v>
      </c>
      <c r="X37" s="182" t="s">
        <v>90</v>
      </c>
      <c r="Y37" s="937" t="s">
        <v>90</v>
      </c>
    </row>
    <row r="38" spans="1:25" ht="18" customHeight="1">
      <c r="A38" s="179" t="s">
        <v>345</v>
      </c>
      <c r="B38" s="181" t="s">
        <v>90</v>
      </c>
      <c r="C38" s="181" t="s">
        <v>90</v>
      </c>
      <c r="D38" s="181" t="s">
        <v>90</v>
      </c>
      <c r="E38" s="181" t="s">
        <v>90</v>
      </c>
      <c r="F38" s="181" t="s">
        <v>90</v>
      </c>
      <c r="G38" s="181">
        <v>2970</v>
      </c>
      <c r="H38" s="181">
        <v>21310</v>
      </c>
      <c r="I38" s="181" t="s">
        <v>90</v>
      </c>
      <c r="J38" s="181">
        <v>20130</v>
      </c>
      <c r="K38" s="181">
        <v>1818</v>
      </c>
      <c r="L38" s="181" t="s">
        <v>90</v>
      </c>
      <c r="M38" s="181" t="s">
        <v>90</v>
      </c>
      <c r="N38" s="181">
        <v>818</v>
      </c>
      <c r="O38" s="170">
        <v>150</v>
      </c>
      <c r="P38" s="170" t="s">
        <v>90</v>
      </c>
      <c r="Q38" s="170">
        <v>1950</v>
      </c>
      <c r="R38" s="170">
        <v>1222</v>
      </c>
      <c r="S38" s="181">
        <v>104</v>
      </c>
      <c r="T38" s="181">
        <v>320</v>
      </c>
      <c r="U38" s="182" t="s">
        <v>90</v>
      </c>
      <c r="V38" s="182" t="s">
        <v>90</v>
      </c>
      <c r="W38" s="182" t="s">
        <v>90</v>
      </c>
      <c r="X38" s="182" t="s">
        <v>90</v>
      </c>
      <c r="Y38" s="937" t="s">
        <v>90</v>
      </c>
    </row>
    <row r="39" spans="1:25" ht="18" customHeight="1">
      <c r="A39" s="179" t="s">
        <v>351</v>
      </c>
      <c r="B39" s="181" t="s">
        <v>90</v>
      </c>
      <c r="C39" s="181" t="s">
        <v>90</v>
      </c>
      <c r="D39" s="181" t="s">
        <v>90</v>
      </c>
      <c r="E39" s="181" t="s">
        <v>90</v>
      </c>
      <c r="F39" s="181" t="s">
        <v>90</v>
      </c>
      <c r="G39" s="181">
        <v>1434</v>
      </c>
      <c r="H39" s="181" t="s">
        <v>90</v>
      </c>
      <c r="I39" s="181" t="s">
        <v>90</v>
      </c>
      <c r="J39" s="181" t="s">
        <v>90</v>
      </c>
      <c r="K39" s="181" t="s">
        <v>90</v>
      </c>
      <c r="L39" s="181" t="s">
        <v>90</v>
      </c>
      <c r="M39" s="181" t="s">
        <v>90</v>
      </c>
      <c r="N39" s="181" t="s">
        <v>90</v>
      </c>
      <c r="O39" s="170" t="s">
        <v>90</v>
      </c>
      <c r="P39" s="170" t="s">
        <v>90</v>
      </c>
      <c r="Q39" s="170" t="s">
        <v>90</v>
      </c>
      <c r="R39" s="170" t="s">
        <v>90</v>
      </c>
      <c r="S39" s="181" t="s">
        <v>90</v>
      </c>
      <c r="T39" s="182" t="s">
        <v>90</v>
      </c>
      <c r="U39" s="182" t="s">
        <v>90</v>
      </c>
      <c r="V39" s="182" t="s">
        <v>90</v>
      </c>
      <c r="W39" s="182" t="s">
        <v>90</v>
      </c>
      <c r="X39" s="182" t="s">
        <v>90</v>
      </c>
      <c r="Y39" s="937" t="s">
        <v>90</v>
      </c>
    </row>
    <row r="40" spans="1:25" ht="18" customHeight="1">
      <c r="A40" s="188" t="s">
        <v>578</v>
      </c>
      <c r="B40" s="181" t="s">
        <v>90</v>
      </c>
      <c r="C40" s="181" t="s">
        <v>90</v>
      </c>
      <c r="D40" s="181" t="s">
        <v>90</v>
      </c>
      <c r="E40" s="181" t="s">
        <v>90</v>
      </c>
      <c r="F40" s="181" t="s">
        <v>90</v>
      </c>
      <c r="G40" s="181" t="s">
        <v>90</v>
      </c>
      <c r="H40" s="181" t="s">
        <v>90</v>
      </c>
      <c r="I40" s="181" t="s">
        <v>90</v>
      </c>
      <c r="J40" s="181" t="s">
        <v>90</v>
      </c>
      <c r="K40" s="181" t="s">
        <v>90</v>
      </c>
      <c r="L40" s="181">
        <v>1903</v>
      </c>
      <c r="M40" s="181">
        <v>1000</v>
      </c>
      <c r="N40" s="210">
        <v>2155</v>
      </c>
      <c r="O40" s="210">
        <v>1340</v>
      </c>
      <c r="P40" s="210">
        <v>252</v>
      </c>
      <c r="Q40" s="210">
        <v>500</v>
      </c>
      <c r="R40" s="210" t="s">
        <v>90</v>
      </c>
      <c r="S40" s="181" t="s">
        <v>90</v>
      </c>
      <c r="T40" s="182" t="s">
        <v>90</v>
      </c>
      <c r="U40" s="182">
        <v>480</v>
      </c>
      <c r="V40" s="182" t="s">
        <v>90</v>
      </c>
      <c r="W40" s="182" t="s">
        <v>90</v>
      </c>
      <c r="X40" s="182">
        <v>386</v>
      </c>
      <c r="Y40" s="937">
        <v>150</v>
      </c>
    </row>
    <row r="41" spans="1:25" ht="18" customHeight="1">
      <c r="A41" s="183" t="s">
        <v>352</v>
      </c>
      <c r="B41" s="177">
        <f aca="true" t="shared" si="7" ref="B41:I41">SUM(B42:B45)</f>
        <v>79795</v>
      </c>
      <c r="C41" s="177">
        <f t="shared" si="7"/>
        <v>99304</v>
      </c>
      <c r="D41" s="177">
        <f t="shared" si="7"/>
        <v>71221</v>
      </c>
      <c r="E41" s="177">
        <f t="shared" si="7"/>
        <v>76822</v>
      </c>
      <c r="F41" s="177">
        <f t="shared" si="7"/>
        <v>76601</v>
      </c>
      <c r="G41" s="177">
        <f t="shared" si="7"/>
        <v>77846</v>
      </c>
      <c r="H41" s="177">
        <f t="shared" si="7"/>
        <v>71484</v>
      </c>
      <c r="I41" s="177">
        <f t="shared" si="7"/>
        <v>56658</v>
      </c>
      <c r="J41" s="177">
        <f>SUM(J42:J45)</f>
        <v>49448</v>
      </c>
      <c r="K41" s="177">
        <f>SUM(K42:K45)</f>
        <v>49942</v>
      </c>
      <c r="L41" s="177">
        <f>SUM(L42:L46)</f>
        <v>37387</v>
      </c>
      <c r="M41" s="177">
        <f>SUM(M42:M47)</f>
        <v>437</v>
      </c>
      <c r="N41" s="177">
        <f>SUM(N42:N47)</f>
        <v>44823</v>
      </c>
      <c r="O41" s="177">
        <f>SUM(O42:O47)</f>
        <v>45007</v>
      </c>
      <c r="P41" s="177">
        <f>SUM(P42:P49)</f>
        <v>36235</v>
      </c>
      <c r="Q41" s="177">
        <f>SUM(Q42:Q49)</f>
        <v>37970</v>
      </c>
      <c r="R41" s="177">
        <f aca="true" t="shared" si="8" ref="R41:Y41">SUM(R42:R50)</f>
        <v>31264</v>
      </c>
      <c r="S41" s="177">
        <f t="shared" si="8"/>
        <v>29863</v>
      </c>
      <c r="T41" s="177">
        <f t="shared" si="8"/>
        <v>38298</v>
      </c>
      <c r="U41" s="192">
        <f t="shared" si="8"/>
        <v>36456</v>
      </c>
      <c r="V41" s="192">
        <f t="shared" si="8"/>
        <v>9054</v>
      </c>
      <c r="W41" s="192">
        <f>SUM(W42:W50)</f>
        <v>1018</v>
      </c>
      <c r="X41" s="192">
        <f>SUM(X42:X50)</f>
        <v>25967</v>
      </c>
      <c r="Y41" s="482">
        <f t="shared" si="8"/>
        <v>19482</v>
      </c>
    </row>
    <row r="42" spans="1:25" ht="18" customHeight="1">
      <c r="A42" s="179" t="s">
        <v>353</v>
      </c>
      <c r="B42" s="181">
        <v>24987</v>
      </c>
      <c r="C42" s="181">
        <v>39008</v>
      </c>
      <c r="D42" s="181">
        <v>32172</v>
      </c>
      <c r="E42" s="181">
        <v>31684</v>
      </c>
      <c r="F42" s="181">
        <v>35922</v>
      </c>
      <c r="G42" s="181">
        <v>32123</v>
      </c>
      <c r="H42" s="181">
        <v>28021</v>
      </c>
      <c r="I42" s="181">
        <v>23863</v>
      </c>
      <c r="J42" s="181">
        <v>23513</v>
      </c>
      <c r="K42" s="181">
        <v>19080</v>
      </c>
      <c r="L42" s="181">
        <v>15871</v>
      </c>
      <c r="M42" s="181" t="s">
        <v>90</v>
      </c>
      <c r="N42" s="181">
        <v>11433</v>
      </c>
      <c r="O42" s="170">
        <v>10854</v>
      </c>
      <c r="P42" s="170">
        <v>8556</v>
      </c>
      <c r="Q42" s="170">
        <v>9570</v>
      </c>
      <c r="R42" s="170">
        <v>8996</v>
      </c>
      <c r="S42" s="181">
        <v>7677</v>
      </c>
      <c r="T42" s="181">
        <v>8533</v>
      </c>
      <c r="U42" s="181">
        <v>11173</v>
      </c>
      <c r="V42" s="181">
        <v>1313</v>
      </c>
      <c r="W42" s="181">
        <v>330</v>
      </c>
      <c r="X42" s="181">
        <v>4902</v>
      </c>
      <c r="Y42" s="465">
        <v>5429</v>
      </c>
    </row>
    <row r="43" spans="1:25" ht="18" customHeight="1">
      <c r="A43" s="179" t="s">
        <v>354</v>
      </c>
      <c r="B43" s="181">
        <v>54808</v>
      </c>
      <c r="C43" s="181">
        <v>60296</v>
      </c>
      <c r="D43" s="181">
        <v>39049</v>
      </c>
      <c r="E43" s="181">
        <v>45138</v>
      </c>
      <c r="F43" s="181">
        <v>40679</v>
      </c>
      <c r="G43" s="181">
        <v>45723</v>
      </c>
      <c r="H43" s="181">
        <v>42163</v>
      </c>
      <c r="I43" s="181">
        <v>32715</v>
      </c>
      <c r="J43" s="181">
        <v>25935</v>
      </c>
      <c r="K43" s="181">
        <v>30662</v>
      </c>
      <c r="L43" s="181">
        <v>19767</v>
      </c>
      <c r="M43" s="181" t="s">
        <v>90</v>
      </c>
      <c r="N43" s="181">
        <v>22994</v>
      </c>
      <c r="O43" s="170">
        <v>24290</v>
      </c>
      <c r="P43" s="170">
        <v>19622</v>
      </c>
      <c r="Q43" s="170">
        <v>17835</v>
      </c>
      <c r="R43" s="170">
        <v>14434</v>
      </c>
      <c r="S43" s="181">
        <v>14478</v>
      </c>
      <c r="T43" s="181">
        <v>22334</v>
      </c>
      <c r="U43" s="181">
        <v>17526</v>
      </c>
      <c r="V43" s="181">
        <v>2356</v>
      </c>
      <c r="W43" s="181">
        <v>619</v>
      </c>
      <c r="X43" s="181">
        <v>13986</v>
      </c>
      <c r="Y43" s="465">
        <v>7799</v>
      </c>
    </row>
    <row r="44" spans="1:25" ht="18" customHeight="1">
      <c r="A44" s="188" t="s">
        <v>355</v>
      </c>
      <c r="B44" s="181" t="s">
        <v>90</v>
      </c>
      <c r="C44" s="181" t="s">
        <v>90</v>
      </c>
      <c r="D44" s="181" t="s">
        <v>90</v>
      </c>
      <c r="E44" s="181" t="s">
        <v>90</v>
      </c>
      <c r="F44" s="181" t="s">
        <v>90</v>
      </c>
      <c r="G44" s="181" t="s">
        <v>90</v>
      </c>
      <c r="H44" s="181" t="s">
        <v>90</v>
      </c>
      <c r="I44" s="181" t="s">
        <v>90</v>
      </c>
      <c r="J44" s="181" t="s">
        <v>90</v>
      </c>
      <c r="K44" s="181" t="s">
        <v>90</v>
      </c>
      <c r="L44" s="181" t="s">
        <v>90</v>
      </c>
      <c r="M44" s="181" t="s">
        <v>90</v>
      </c>
      <c r="N44" s="181">
        <v>10396</v>
      </c>
      <c r="O44" s="170">
        <v>9844</v>
      </c>
      <c r="P44" s="170">
        <v>7999</v>
      </c>
      <c r="Q44" s="170">
        <v>10565</v>
      </c>
      <c r="R44" s="170">
        <v>7165</v>
      </c>
      <c r="S44" s="181">
        <v>7096</v>
      </c>
      <c r="T44" s="181">
        <v>6679</v>
      </c>
      <c r="U44" s="181">
        <v>6865</v>
      </c>
      <c r="V44" s="181">
        <v>1557</v>
      </c>
      <c r="W44" s="182" t="s">
        <v>90</v>
      </c>
      <c r="X44" s="182">
        <v>6541</v>
      </c>
      <c r="Y44" s="937">
        <v>6117</v>
      </c>
    </row>
    <row r="45" spans="1:25" ht="18" customHeight="1">
      <c r="A45" s="188" t="s">
        <v>357</v>
      </c>
      <c r="B45" s="181" t="s">
        <v>90</v>
      </c>
      <c r="C45" s="181" t="s">
        <v>90</v>
      </c>
      <c r="D45" s="181" t="s">
        <v>90</v>
      </c>
      <c r="E45" s="181" t="s">
        <v>90</v>
      </c>
      <c r="F45" s="181" t="s">
        <v>90</v>
      </c>
      <c r="G45" s="181" t="s">
        <v>90</v>
      </c>
      <c r="H45" s="181">
        <v>1300</v>
      </c>
      <c r="I45" s="181">
        <v>80</v>
      </c>
      <c r="J45" s="181" t="s">
        <v>90</v>
      </c>
      <c r="K45" s="181">
        <v>200</v>
      </c>
      <c r="L45" s="181">
        <v>367</v>
      </c>
      <c r="M45" s="181" t="s">
        <v>90</v>
      </c>
      <c r="N45" s="181" t="s">
        <v>90</v>
      </c>
      <c r="O45" s="170" t="s">
        <v>90</v>
      </c>
      <c r="P45" s="170" t="s">
        <v>90</v>
      </c>
      <c r="Q45" s="170" t="s">
        <v>90</v>
      </c>
      <c r="R45" s="170" t="s">
        <v>90</v>
      </c>
      <c r="S45" s="181">
        <v>612</v>
      </c>
      <c r="T45" s="182" t="s">
        <v>90</v>
      </c>
      <c r="U45" s="182">
        <v>146</v>
      </c>
      <c r="V45" s="182" t="s">
        <v>90</v>
      </c>
      <c r="W45" s="182" t="s">
        <v>90</v>
      </c>
      <c r="X45" s="182" t="s">
        <v>90</v>
      </c>
      <c r="Y45" s="937" t="s">
        <v>90</v>
      </c>
    </row>
    <row r="46" spans="1:25" ht="18" customHeight="1">
      <c r="A46" s="188" t="s">
        <v>343</v>
      </c>
      <c r="B46" s="181" t="s">
        <v>90</v>
      </c>
      <c r="C46" s="181" t="s">
        <v>90</v>
      </c>
      <c r="D46" s="181" t="s">
        <v>90</v>
      </c>
      <c r="E46" s="181" t="s">
        <v>90</v>
      </c>
      <c r="F46" s="181" t="s">
        <v>90</v>
      </c>
      <c r="G46" s="181" t="s">
        <v>90</v>
      </c>
      <c r="H46" s="181" t="s">
        <v>90</v>
      </c>
      <c r="I46" s="181" t="s">
        <v>90</v>
      </c>
      <c r="J46" s="181" t="s">
        <v>90</v>
      </c>
      <c r="K46" s="181" t="s">
        <v>90</v>
      </c>
      <c r="L46" s="181">
        <v>1382</v>
      </c>
      <c r="M46" s="181" t="s">
        <v>90</v>
      </c>
      <c r="N46" s="181" t="s">
        <v>90</v>
      </c>
      <c r="O46" s="170" t="s">
        <v>90</v>
      </c>
      <c r="P46" s="170" t="s">
        <v>90</v>
      </c>
      <c r="Q46" s="170" t="s">
        <v>90</v>
      </c>
      <c r="R46" s="170">
        <v>270</v>
      </c>
      <c r="S46" s="181" t="s">
        <v>90</v>
      </c>
      <c r="T46" s="182">
        <v>752</v>
      </c>
      <c r="U46" s="182"/>
      <c r="V46" s="182">
        <v>3458</v>
      </c>
      <c r="W46" s="182" t="s">
        <v>90</v>
      </c>
      <c r="X46" s="182">
        <v>283</v>
      </c>
      <c r="Y46" s="937" t="s">
        <v>90</v>
      </c>
    </row>
    <row r="47" spans="1:25" ht="18" customHeight="1">
      <c r="A47" s="188" t="s">
        <v>341</v>
      </c>
      <c r="B47" s="181" t="s">
        <v>90</v>
      </c>
      <c r="C47" s="181" t="s">
        <v>90</v>
      </c>
      <c r="D47" s="181" t="s">
        <v>90</v>
      </c>
      <c r="E47" s="181" t="s">
        <v>90</v>
      </c>
      <c r="F47" s="181" t="s">
        <v>90</v>
      </c>
      <c r="G47" s="181" t="s">
        <v>90</v>
      </c>
      <c r="H47" s="181" t="s">
        <v>90</v>
      </c>
      <c r="I47" s="181" t="s">
        <v>90</v>
      </c>
      <c r="J47" s="181" t="s">
        <v>90</v>
      </c>
      <c r="K47" s="181" t="s">
        <v>90</v>
      </c>
      <c r="L47" s="181" t="s">
        <v>90</v>
      </c>
      <c r="M47" s="181">
        <v>437</v>
      </c>
      <c r="N47" s="181" t="s">
        <v>90</v>
      </c>
      <c r="O47" s="170">
        <v>19</v>
      </c>
      <c r="P47" s="170">
        <v>43</v>
      </c>
      <c r="Q47" s="170" t="s">
        <v>90</v>
      </c>
      <c r="R47" s="170" t="s">
        <v>90</v>
      </c>
      <c r="S47" s="181" t="s">
        <v>90</v>
      </c>
      <c r="T47" s="182" t="s">
        <v>90</v>
      </c>
      <c r="U47" s="182" t="s">
        <v>90</v>
      </c>
      <c r="V47" s="182">
        <v>370</v>
      </c>
      <c r="W47" s="182" t="s">
        <v>90</v>
      </c>
      <c r="X47" s="182" t="s">
        <v>90</v>
      </c>
      <c r="Y47" s="937" t="s">
        <v>90</v>
      </c>
    </row>
    <row r="48" spans="1:25" ht="18" customHeight="1">
      <c r="A48" s="179" t="s">
        <v>518</v>
      </c>
      <c r="B48" s="181"/>
      <c r="C48" s="181"/>
      <c r="D48" s="181"/>
      <c r="E48" s="181"/>
      <c r="F48" s="181"/>
      <c r="G48" s="181"/>
      <c r="H48" s="181"/>
      <c r="I48" s="181"/>
      <c r="J48" s="181"/>
      <c r="K48" s="181"/>
      <c r="L48" s="181"/>
      <c r="M48" s="181"/>
      <c r="N48" s="181"/>
      <c r="O48" s="170"/>
      <c r="P48" s="170"/>
      <c r="Q48" s="170"/>
      <c r="R48" s="170"/>
      <c r="S48" s="181"/>
      <c r="T48" s="182"/>
      <c r="U48" s="182"/>
      <c r="V48" s="182"/>
      <c r="W48" s="182"/>
      <c r="X48" s="182"/>
      <c r="Y48" s="937">
        <v>137</v>
      </c>
    </row>
    <row r="49" spans="1:25" ht="18" customHeight="1">
      <c r="A49" s="188" t="s">
        <v>578</v>
      </c>
      <c r="B49" s="181" t="s">
        <v>90</v>
      </c>
      <c r="C49" s="181" t="s">
        <v>90</v>
      </c>
      <c r="D49" s="181" t="s">
        <v>90</v>
      </c>
      <c r="E49" s="181" t="s">
        <v>90</v>
      </c>
      <c r="F49" s="181" t="s">
        <v>90</v>
      </c>
      <c r="G49" s="181" t="s">
        <v>90</v>
      </c>
      <c r="H49" s="181" t="s">
        <v>90</v>
      </c>
      <c r="I49" s="181" t="s">
        <v>90</v>
      </c>
      <c r="J49" s="181" t="s">
        <v>90</v>
      </c>
      <c r="K49" s="181" t="s">
        <v>90</v>
      </c>
      <c r="L49" s="181" t="s">
        <v>90</v>
      </c>
      <c r="M49" s="181" t="s">
        <v>90</v>
      </c>
      <c r="N49" s="181" t="s">
        <v>90</v>
      </c>
      <c r="O49" s="181" t="s">
        <v>90</v>
      </c>
      <c r="P49" s="210">
        <v>15</v>
      </c>
      <c r="Q49" s="170" t="s">
        <v>90</v>
      </c>
      <c r="R49" s="170" t="s">
        <v>90</v>
      </c>
      <c r="S49" s="181" t="s">
        <v>90</v>
      </c>
      <c r="T49" s="182" t="s">
        <v>90</v>
      </c>
      <c r="U49" s="182">
        <v>746</v>
      </c>
      <c r="V49" s="182" t="s">
        <v>90</v>
      </c>
      <c r="W49" s="182">
        <v>69</v>
      </c>
      <c r="X49" s="182">
        <v>255</v>
      </c>
      <c r="Y49" s="937"/>
    </row>
    <row r="50" spans="1:25" ht="18" customHeight="1">
      <c r="A50" s="179" t="s">
        <v>346</v>
      </c>
      <c r="B50" s="181" t="s">
        <v>90</v>
      </c>
      <c r="C50" s="181" t="s">
        <v>90</v>
      </c>
      <c r="D50" s="181" t="s">
        <v>90</v>
      </c>
      <c r="E50" s="181" t="s">
        <v>90</v>
      </c>
      <c r="F50" s="181" t="s">
        <v>90</v>
      </c>
      <c r="G50" s="181" t="s">
        <v>90</v>
      </c>
      <c r="H50" s="181" t="s">
        <v>90</v>
      </c>
      <c r="I50" s="181" t="s">
        <v>90</v>
      </c>
      <c r="J50" s="181" t="s">
        <v>90</v>
      </c>
      <c r="K50" s="181" t="s">
        <v>90</v>
      </c>
      <c r="L50" s="181" t="s">
        <v>90</v>
      </c>
      <c r="M50" s="181" t="s">
        <v>90</v>
      </c>
      <c r="N50" s="181" t="s">
        <v>90</v>
      </c>
      <c r="O50" s="181" t="s">
        <v>90</v>
      </c>
      <c r="P50" s="181" t="s">
        <v>90</v>
      </c>
      <c r="Q50" s="181" t="s">
        <v>90</v>
      </c>
      <c r="R50" s="210">
        <v>399</v>
      </c>
      <c r="S50" s="181" t="s">
        <v>90</v>
      </c>
      <c r="T50" s="182" t="s">
        <v>90</v>
      </c>
      <c r="U50" s="182" t="s">
        <v>90</v>
      </c>
      <c r="V50" s="182" t="s">
        <v>90</v>
      </c>
      <c r="W50" s="182" t="s">
        <v>90</v>
      </c>
      <c r="X50" s="182" t="s">
        <v>90</v>
      </c>
      <c r="Y50" s="937" t="s">
        <v>90</v>
      </c>
    </row>
    <row r="51" spans="1:25" ht="18" customHeight="1">
      <c r="A51" s="183" t="s">
        <v>737</v>
      </c>
      <c r="B51" s="192" t="s">
        <v>90</v>
      </c>
      <c r="C51" s="192" t="s">
        <v>90</v>
      </c>
      <c r="D51" s="192" t="s">
        <v>90</v>
      </c>
      <c r="E51" s="192" t="s">
        <v>90</v>
      </c>
      <c r="F51" s="177">
        <v>650</v>
      </c>
      <c r="G51" s="177">
        <v>1838</v>
      </c>
      <c r="H51" s="177">
        <v>5842</v>
      </c>
      <c r="I51" s="177">
        <v>2014</v>
      </c>
      <c r="J51" s="177">
        <v>18493</v>
      </c>
      <c r="K51" s="177">
        <f>4810+10486+20146</f>
        <v>35442</v>
      </c>
      <c r="L51" s="177">
        <v>40181</v>
      </c>
      <c r="M51" s="177">
        <v>47011</v>
      </c>
      <c r="N51" s="177">
        <v>80726</v>
      </c>
      <c r="O51" s="177">
        <v>87263</v>
      </c>
      <c r="P51" s="177">
        <f>5726+9317+64135</f>
        <v>79178</v>
      </c>
      <c r="Q51" s="177">
        <v>80824</v>
      </c>
      <c r="R51" s="177">
        <v>94445</v>
      </c>
      <c r="S51" s="177">
        <v>101996</v>
      </c>
      <c r="T51" s="177">
        <v>95429</v>
      </c>
      <c r="U51" s="177">
        <v>163571</v>
      </c>
      <c r="V51" s="177">
        <v>25496</v>
      </c>
      <c r="W51" s="177">
        <v>3751</v>
      </c>
      <c r="X51" s="177">
        <v>40863</v>
      </c>
      <c r="Y51" s="891">
        <v>66817</v>
      </c>
    </row>
    <row r="52" spans="1:10" ht="12.75">
      <c r="A52" s="5"/>
      <c r="B52" s="5"/>
      <c r="C52" s="5"/>
      <c r="D52" s="5"/>
      <c r="E52" s="5"/>
      <c r="F52" s="5"/>
      <c r="G52" s="5"/>
      <c r="H52" s="5"/>
      <c r="I52" s="5"/>
      <c r="J52" s="5"/>
    </row>
    <row r="53" spans="1:24" s="461" customFormat="1" ht="12.75">
      <c r="A53" s="474" t="s">
        <v>738</v>
      </c>
      <c r="B53" s="473"/>
      <c r="C53" s="473"/>
      <c r="D53" s="473"/>
      <c r="E53" s="473"/>
      <c r="F53" s="473"/>
      <c r="G53" s="473"/>
      <c r="H53" s="473"/>
      <c r="I53" s="473"/>
      <c r="J53" s="473"/>
      <c r="W53" s="2"/>
      <c r="X53" s="2"/>
    </row>
    <row r="54" spans="1:24" s="461" customFormat="1" ht="12.75">
      <c r="A54" s="474" t="s">
        <v>739</v>
      </c>
      <c r="B54" s="473"/>
      <c r="C54" s="473"/>
      <c r="D54" s="473"/>
      <c r="E54" s="473"/>
      <c r="F54" s="473"/>
      <c r="G54" s="473"/>
      <c r="H54" s="473"/>
      <c r="I54" s="473"/>
      <c r="J54" s="473"/>
      <c r="W54" s="2"/>
      <c r="X54" s="2"/>
    </row>
    <row r="55" spans="1:20" ht="12.75">
      <c r="A55" s="13" t="s">
        <v>768</v>
      </c>
      <c r="B55" s="5"/>
      <c r="C55" s="5"/>
      <c r="D55" s="5"/>
      <c r="E55" s="5"/>
      <c r="F55" s="5"/>
      <c r="G55" s="5"/>
      <c r="H55" s="5"/>
      <c r="I55" s="5"/>
      <c r="J55" s="5"/>
      <c r="O55" s="2"/>
      <c r="T55" s="386"/>
    </row>
    <row r="56" spans="1:20" ht="12.75">
      <c r="A56" s="13" t="s">
        <v>766</v>
      </c>
      <c r="B56" s="5"/>
      <c r="C56" s="5"/>
      <c r="D56" s="5"/>
      <c r="E56" s="5"/>
      <c r="F56" s="5"/>
      <c r="G56" s="5"/>
      <c r="H56" s="5"/>
      <c r="I56" s="5"/>
      <c r="J56" s="5"/>
      <c r="O56" s="2"/>
      <c r="T56" s="386"/>
    </row>
    <row r="57" spans="1:20" ht="12.75">
      <c r="A57" s="13"/>
      <c r="B57" s="5"/>
      <c r="C57" s="5"/>
      <c r="D57" s="5"/>
      <c r="E57" s="5"/>
      <c r="F57" s="5"/>
      <c r="G57" s="5"/>
      <c r="H57" s="5"/>
      <c r="I57" s="5"/>
      <c r="J57" s="5"/>
      <c r="O57" s="2"/>
      <c r="T57" s="386"/>
    </row>
    <row r="58" spans="1:20" ht="12.75">
      <c r="A58" s="13" t="s">
        <v>334</v>
      </c>
      <c r="B58" s="5"/>
      <c r="C58" s="5"/>
      <c r="D58" s="5"/>
      <c r="E58" s="5"/>
      <c r="F58" s="5"/>
      <c r="G58" s="5"/>
      <c r="H58" s="5"/>
      <c r="I58" s="5"/>
      <c r="J58" s="5"/>
      <c r="O58" s="2"/>
      <c r="T58" s="386"/>
    </row>
    <row r="59" spans="1:25" ht="12.75">
      <c r="A59" s="1106" t="s">
        <v>864</v>
      </c>
      <c r="B59" s="1106"/>
      <c r="C59" s="1106"/>
      <c r="D59" s="1106"/>
      <c r="E59" s="1106"/>
      <c r="F59" s="1106"/>
      <c r="G59" s="1106"/>
      <c r="H59" s="1106"/>
      <c r="I59" s="1106"/>
      <c r="J59" s="1106"/>
      <c r="K59" s="1106"/>
      <c r="L59" s="1106"/>
      <c r="M59" s="1106"/>
      <c r="N59" s="1106"/>
      <c r="O59" s="1106"/>
      <c r="P59" s="1106"/>
      <c r="Q59" s="1106"/>
      <c r="R59" s="1106"/>
      <c r="S59" s="1106"/>
      <c r="T59" s="1106"/>
      <c r="U59" s="1106"/>
      <c r="V59" s="1106"/>
      <c r="W59" s="1106"/>
      <c r="X59" s="1106"/>
      <c r="Y59" s="1107"/>
    </row>
    <row r="60" spans="1:25" ht="12.75">
      <c r="A60" s="1106" t="s">
        <v>877</v>
      </c>
      <c r="B60" s="1106"/>
      <c r="C60" s="1106"/>
      <c r="D60" s="1106"/>
      <c r="E60" s="1106"/>
      <c r="F60" s="1106"/>
      <c r="G60" s="1106"/>
      <c r="H60" s="1106"/>
      <c r="I60" s="1106"/>
      <c r="J60" s="1106"/>
      <c r="K60" s="1106"/>
      <c r="L60" s="1106"/>
      <c r="M60" s="1106"/>
      <c r="N60" s="1106"/>
      <c r="O60" s="1106"/>
      <c r="P60" s="1106"/>
      <c r="Q60" s="1106"/>
      <c r="R60" s="1106"/>
      <c r="S60" s="1106"/>
      <c r="T60" s="1106"/>
      <c r="U60" s="1106"/>
      <c r="V60" s="1106"/>
      <c r="W60" s="1106"/>
      <c r="X60" s="1106"/>
      <c r="Y60" s="1107"/>
    </row>
  </sheetData>
  <sheetProtection/>
  <mergeCells count="5">
    <mergeCell ref="A59:Y59"/>
    <mergeCell ref="A60:Y60"/>
    <mergeCell ref="A1:Y1"/>
    <mergeCell ref="A3:Y3"/>
    <mergeCell ref="A4:Y4"/>
  </mergeCells>
  <printOptions horizontalCentered="1"/>
  <pageMargins left="0.7874015748031497" right="0.7874015748031497" top="0.984251968503937" bottom="0.984251968503937" header="0" footer="0"/>
  <pageSetup fitToHeight="1" fitToWidth="1" horizontalDpi="600" verticalDpi="600" orientation="landscape" scale="44"/>
</worksheet>
</file>

<file path=xl/worksheets/sheet37.xml><?xml version="1.0" encoding="utf-8"?>
<worksheet xmlns="http://schemas.openxmlformats.org/spreadsheetml/2006/main" xmlns:r="http://schemas.openxmlformats.org/officeDocument/2006/relationships">
  <sheetPr>
    <tabColor rgb="FFC00000"/>
    <pageSetUpPr fitToPage="1"/>
  </sheetPr>
  <dimension ref="A1:Y23"/>
  <sheetViews>
    <sheetView zoomScalePageLayoutView="0" workbookViewId="0" topLeftCell="A3">
      <pane xSplit="1" ySplit="5" topLeftCell="V8" activePane="bottomRight" state="frozen"/>
      <selection pane="topLeft" activeCell="A3" sqref="A3"/>
      <selection pane="topRight" activeCell="B3" sqref="B3"/>
      <selection pane="bottomLeft" activeCell="A8" sqref="A8"/>
      <selection pane="bottomRight" activeCell="A26" sqref="A26"/>
    </sheetView>
  </sheetViews>
  <sheetFormatPr defaultColWidth="11.421875" defaultRowHeight="12.75"/>
  <cols>
    <col min="1" max="1" width="47.7109375" style="0" customWidth="1"/>
    <col min="2" max="8" width="10.421875" style="0" customWidth="1"/>
    <col min="9" max="10" width="10.421875" style="2" customWidth="1"/>
    <col min="11" max="11" width="10.421875" style="0" customWidth="1"/>
    <col min="19" max="21" width="11.421875" style="2" customWidth="1"/>
    <col min="22" max="22" width="11.421875" style="386" customWidth="1"/>
    <col min="23" max="24" width="11.421875" style="2" customWidth="1"/>
    <col min="25" max="25" width="11.421875" style="461" customWidth="1"/>
  </cols>
  <sheetData>
    <row r="1" spans="1:25" ht="12.75">
      <c r="A1" s="1175" t="s">
        <v>591</v>
      </c>
      <c r="B1" s="1176"/>
      <c r="C1" s="1176"/>
      <c r="D1" s="1176"/>
      <c r="E1" s="1176"/>
      <c r="F1" s="1176"/>
      <c r="G1" s="1176"/>
      <c r="H1" s="1176"/>
      <c r="I1" s="1176"/>
      <c r="J1" s="1176"/>
      <c r="K1" s="1176"/>
      <c r="L1" s="1176"/>
      <c r="M1" s="1176"/>
      <c r="N1" s="1176"/>
      <c r="O1" s="1176"/>
      <c r="P1" s="1176"/>
      <c r="Q1" s="1176"/>
      <c r="R1" s="1176"/>
      <c r="S1" s="1176"/>
      <c r="T1" s="1176"/>
      <c r="U1" s="1176"/>
      <c r="V1" s="1176"/>
      <c r="W1" s="1176"/>
      <c r="X1" s="1176"/>
      <c r="Y1" s="1176"/>
    </row>
    <row r="3" spans="1:25" ht="18" customHeight="1">
      <c r="A3" s="1109" t="s">
        <v>25</v>
      </c>
      <c r="B3" s="1109"/>
      <c r="C3" s="1109"/>
      <c r="D3" s="1109"/>
      <c r="E3" s="1109"/>
      <c r="F3" s="1109"/>
      <c r="G3" s="1109"/>
      <c r="H3" s="1109"/>
      <c r="I3" s="1109"/>
      <c r="J3" s="1109"/>
      <c r="K3" s="1109"/>
      <c r="L3" s="1109"/>
      <c r="M3" s="1109"/>
      <c r="N3" s="1109"/>
      <c r="O3" s="1109"/>
      <c r="P3" s="1109"/>
      <c r="Q3" s="1109"/>
      <c r="R3" s="1109"/>
      <c r="S3" s="1109"/>
      <c r="T3" s="1109"/>
      <c r="U3" s="1109"/>
      <c r="V3" s="1109"/>
      <c r="W3" s="1109"/>
      <c r="X3" s="1109"/>
      <c r="Y3" s="1109"/>
    </row>
    <row r="4" spans="1:25" ht="18" customHeight="1">
      <c r="A4" s="1111" t="s">
        <v>778</v>
      </c>
      <c r="B4" s="1111"/>
      <c r="C4" s="1111"/>
      <c r="D4" s="1111"/>
      <c r="E4" s="1111"/>
      <c r="F4" s="1111"/>
      <c r="G4" s="1111"/>
      <c r="H4" s="1111"/>
      <c r="I4" s="1111"/>
      <c r="J4" s="1111"/>
      <c r="K4" s="1111"/>
      <c r="L4" s="1111"/>
      <c r="M4" s="1111"/>
      <c r="N4" s="1111"/>
      <c r="O4" s="1111"/>
      <c r="P4" s="1111"/>
      <c r="Q4" s="1111"/>
      <c r="R4" s="1111"/>
      <c r="S4" s="1111"/>
      <c r="T4" s="1111"/>
      <c r="U4" s="1111"/>
      <c r="V4" s="1111"/>
      <c r="W4" s="1111"/>
      <c r="X4" s="1111"/>
      <c r="Y4" s="1111"/>
    </row>
    <row r="5" spans="1:10" ht="18" customHeight="1">
      <c r="A5" s="17"/>
      <c r="B5" s="17"/>
      <c r="C5" s="17"/>
      <c r="D5" s="17"/>
      <c r="E5" s="17"/>
      <c r="F5" s="17"/>
      <c r="G5" s="17"/>
      <c r="H5" s="17"/>
      <c r="I5" s="5"/>
      <c r="J5" s="5"/>
    </row>
    <row r="6" spans="1:25" ht="18" customHeight="1">
      <c r="A6" s="19"/>
      <c r="B6" s="290">
        <v>2000</v>
      </c>
      <c r="C6" s="290">
        <v>2001</v>
      </c>
      <c r="D6" s="290">
        <v>2002</v>
      </c>
      <c r="E6" s="290">
        <v>2003</v>
      </c>
      <c r="F6" s="290">
        <v>2004</v>
      </c>
      <c r="G6" s="290">
        <v>2005</v>
      </c>
      <c r="H6" s="290">
        <v>2006</v>
      </c>
      <c r="I6" s="290">
        <v>2007</v>
      </c>
      <c r="J6" s="290">
        <v>2008</v>
      </c>
      <c r="K6" s="290">
        <v>2009</v>
      </c>
      <c r="L6" s="290">
        <v>2010</v>
      </c>
      <c r="M6" s="290">
        <v>2011</v>
      </c>
      <c r="N6" s="290">
        <v>2012</v>
      </c>
      <c r="O6" s="290">
        <v>2013</v>
      </c>
      <c r="P6" s="290">
        <v>2014</v>
      </c>
      <c r="Q6" s="290">
        <v>2015</v>
      </c>
      <c r="R6" s="290">
        <v>2016</v>
      </c>
      <c r="S6" s="290">
        <v>2017</v>
      </c>
      <c r="T6" s="290">
        <v>2018</v>
      </c>
      <c r="U6" s="290">
        <v>2019</v>
      </c>
      <c r="V6" s="381">
        <v>2020</v>
      </c>
      <c r="W6" s="290">
        <v>2021</v>
      </c>
      <c r="X6" s="290">
        <v>2022</v>
      </c>
      <c r="Y6" s="463">
        <v>2023</v>
      </c>
    </row>
    <row r="7" spans="1:25" ht="18" customHeight="1">
      <c r="A7" s="176" t="s">
        <v>358</v>
      </c>
      <c r="B7" s="192">
        <f>SUM(B8:B13)</f>
        <v>195858</v>
      </c>
      <c r="C7" s="192">
        <f aca="true" t="shared" si="0" ref="C7:K7">SUM(C8:C13)</f>
        <v>217303</v>
      </c>
      <c r="D7" s="192">
        <f t="shared" si="0"/>
        <v>227642</v>
      </c>
      <c r="E7" s="192">
        <f t="shared" si="0"/>
        <v>240409</v>
      </c>
      <c r="F7" s="192">
        <f t="shared" si="0"/>
        <v>245309</v>
      </c>
      <c r="G7" s="192">
        <f t="shared" si="0"/>
        <v>279411</v>
      </c>
      <c r="H7" s="192">
        <f>SUM(H8:H13)</f>
        <v>323776</v>
      </c>
      <c r="I7" s="192">
        <f>SUM(I8:I13)</f>
        <v>318501</v>
      </c>
      <c r="J7" s="192">
        <f>SUM(J8:J13)</f>
        <v>347423</v>
      </c>
      <c r="K7" s="192">
        <f t="shared" si="0"/>
        <v>373097</v>
      </c>
      <c r="L7" s="192">
        <f>SUM(L8:L13)</f>
        <v>383018</v>
      </c>
      <c r="M7" s="192">
        <f>SUM(M8:M13)</f>
        <v>403739</v>
      </c>
      <c r="N7" s="192">
        <f>SUM(N8:N13)</f>
        <v>415685</v>
      </c>
      <c r="O7" s="192">
        <f>SUM(O8:O13)</f>
        <v>389238</v>
      </c>
      <c r="P7" s="192">
        <f>SUM(P8:P13)</f>
        <v>412888</v>
      </c>
      <c r="Q7" s="192">
        <f>SUM(Q8:Q13)</f>
        <v>405845</v>
      </c>
      <c r="R7" s="192">
        <f>SUM(R8:R13)</f>
        <v>406162</v>
      </c>
      <c r="S7" s="192">
        <f>SUM(S8:S13)</f>
        <v>422311</v>
      </c>
      <c r="T7" s="192">
        <f>SUM(T8:T13)</f>
        <v>435159</v>
      </c>
      <c r="U7" s="192">
        <f>SUM(U8:U13)</f>
        <v>448500</v>
      </c>
      <c r="V7" s="382">
        <f>SUM(V8:V13)</f>
        <v>450891</v>
      </c>
      <c r="W7" s="192">
        <f>SUM(W8:W13)</f>
        <v>456440</v>
      </c>
      <c r="X7" s="192">
        <f>SUM(X8:X13)</f>
        <v>468079</v>
      </c>
      <c r="Y7" s="482">
        <f>SUM(Y8:Y13)</f>
        <v>417848</v>
      </c>
    </row>
    <row r="8" spans="1:25" ht="18" customHeight="1">
      <c r="A8" s="193" t="s">
        <v>359</v>
      </c>
      <c r="B8" s="181">
        <v>5514</v>
      </c>
      <c r="C8" s="181">
        <v>5568</v>
      </c>
      <c r="D8" s="181">
        <v>5800</v>
      </c>
      <c r="E8" s="181">
        <v>6859</v>
      </c>
      <c r="F8" s="181">
        <v>6883</v>
      </c>
      <c r="G8" s="181">
        <v>10071</v>
      </c>
      <c r="H8" s="181">
        <v>11642</v>
      </c>
      <c r="I8" s="181">
        <v>13660</v>
      </c>
      <c r="J8" s="181">
        <v>13898</v>
      </c>
      <c r="K8" s="181">
        <v>14234</v>
      </c>
      <c r="L8" s="181">
        <v>14652</v>
      </c>
      <c r="M8" s="181">
        <v>15029</v>
      </c>
      <c r="N8" s="181">
        <v>15436</v>
      </c>
      <c r="O8" s="170">
        <v>16245</v>
      </c>
      <c r="P8" s="170">
        <v>16708</v>
      </c>
      <c r="Q8" s="170">
        <v>17265</v>
      </c>
      <c r="R8" s="170">
        <v>17808</v>
      </c>
      <c r="S8" s="181">
        <v>18408</v>
      </c>
      <c r="T8" s="181">
        <v>19008</v>
      </c>
      <c r="U8" s="181">
        <v>19608</v>
      </c>
      <c r="V8" s="383">
        <v>20333</v>
      </c>
      <c r="W8" s="181">
        <v>21033</v>
      </c>
      <c r="X8" s="181">
        <v>21723</v>
      </c>
      <c r="Y8" s="1226">
        <v>22293</v>
      </c>
    </row>
    <row r="9" spans="1:25" ht="18" customHeight="1">
      <c r="A9" s="193" t="s">
        <v>360</v>
      </c>
      <c r="B9" s="181">
        <v>27080</v>
      </c>
      <c r="C9" s="181">
        <v>29580</v>
      </c>
      <c r="D9" s="181">
        <v>30176</v>
      </c>
      <c r="E9" s="181">
        <v>30969</v>
      </c>
      <c r="F9" s="181">
        <v>35000</v>
      </c>
      <c r="G9" s="181">
        <v>36600</v>
      </c>
      <c r="H9" s="181">
        <v>40954</v>
      </c>
      <c r="I9" s="181">
        <v>41494</v>
      </c>
      <c r="J9" s="181">
        <v>42373</v>
      </c>
      <c r="K9" s="181">
        <v>43467</v>
      </c>
      <c r="L9" s="181">
        <v>44203</v>
      </c>
      <c r="M9" s="181">
        <v>44234</v>
      </c>
      <c r="N9" s="181">
        <v>45419</v>
      </c>
      <c r="O9" s="170">
        <v>46597</v>
      </c>
      <c r="P9" s="170">
        <v>48901</v>
      </c>
      <c r="Q9" s="170">
        <v>49895</v>
      </c>
      <c r="R9" s="170">
        <v>51536</v>
      </c>
      <c r="S9" s="181">
        <v>52048</v>
      </c>
      <c r="T9" s="181">
        <v>53105</v>
      </c>
      <c r="U9" s="181">
        <v>53301</v>
      </c>
      <c r="V9" s="383">
        <v>52266</v>
      </c>
      <c r="W9" s="181">
        <v>52272</v>
      </c>
      <c r="X9" s="181">
        <v>52768</v>
      </c>
      <c r="Y9" s="1226">
        <v>53202</v>
      </c>
    </row>
    <row r="10" spans="1:25" ht="18" customHeight="1">
      <c r="A10" s="193" t="s">
        <v>361</v>
      </c>
      <c r="B10" s="181">
        <v>88955</v>
      </c>
      <c r="C10" s="181">
        <v>92863</v>
      </c>
      <c r="D10" s="181">
        <v>97043</v>
      </c>
      <c r="E10" s="181">
        <v>102748</v>
      </c>
      <c r="F10" s="181">
        <v>108607</v>
      </c>
      <c r="G10" s="181">
        <v>113000</v>
      </c>
      <c r="H10" s="181">
        <v>133341</v>
      </c>
      <c r="I10" s="181">
        <v>134867</v>
      </c>
      <c r="J10" s="181">
        <v>138269</v>
      </c>
      <c r="K10" s="181">
        <v>141253</v>
      </c>
      <c r="L10" s="181">
        <v>143914</v>
      </c>
      <c r="M10" s="181">
        <v>146293</v>
      </c>
      <c r="N10" s="181">
        <v>149885</v>
      </c>
      <c r="O10" s="170">
        <v>153008</v>
      </c>
      <c r="P10" s="170">
        <v>157445</v>
      </c>
      <c r="Q10" s="170">
        <v>161984</v>
      </c>
      <c r="R10" s="170">
        <v>166098</v>
      </c>
      <c r="S10" s="181">
        <v>170443</v>
      </c>
      <c r="T10" s="181">
        <v>174708</v>
      </c>
      <c r="U10" s="181">
        <v>179858</v>
      </c>
      <c r="V10" s="383">
        <v>182898</v>
      </c>
      <c r="W10" s="181">
        <v>187398</v>
      </c>
      <c r="X10" s="181">
        <v>191998</v>
      </c>
      <c r="Y10" s="1226">
        <v>196318</v>
      </c>
    </row>
    <row r="11" spans="1:25" ht="18" customHeight="1">
      <c r="A11" s="193" t="s">
        <v>520</v>
      </c>
      <c r="B11" s="181">
        <v>9113</v>
      </c>
      <c r="C11" s="181">
        <v>10288</v>
      </c>
      <c r="D11" s="181">
        <v>11263</v>
      </c>
      <c r="E11" s="181">
        <v>11861</v>
      </c>
      <c r="F11" s="181">
        <v>12123</v>
      </c>
      <c r="G11" s="181">
        <v>12539</v>
      </c>
      <c r="H11" s="181">
        <v>13188</v>
      </c>
      <c r="I11" s="181">
        <v>14686</v>
      </c>
      <c r="J11" s="181">
        <v>15104</v>
      </c>
      <c r="K11" s="181">
        <v>27396</v>
      </c>
      <c r="L11" s="181">
        <v>29526</v>
      </c>
      <c r="M11" s="181">
        <v>36646</v>
      </c>
      <c r="N11" s="181">
        <v>35177</v>
      </c>
      <c r="O11" s="170">
        <v>34203</v>
      </c>
      <c r="P11" s="170">
        <v>36166</v>
      </c>
      <c r="Q11" s="170">
        <v>22679</v>
      </c>
      <c r="R11" s="170">
        <v>24120</v>
      </c>
      <c r="S11" s="181">
        <v>38963</v>
      </c>
      <c r="T11" s="181">
        <v>40076</v>
      </c>
      <c r="U11" s="181">
        <v>40781</v>
      </c>
      <c r="V11" s="383">
        <v>41124</v>
      </c>
      <c r="W11" s="181">
        <v>41467</v>
      </c>
      <c r="X11" s="181">
        <v>41962</v>
      </c>
      <c r="Y11" s="465" t="s">
        <v>882</v>
      </c>
    </row>
    <row r="12" spans="1:25" ht="18" customHeight="1">
      <c r="A12" s="193" t="s">
        <v>362</v>
      </c>
      <c r="B12" s="181">
        <v>12000</v>
      </c>
      <c r="C12" s="181">
        <v>19703</v>
      </c>
      <c r="D12" s="181">
        <v>19305</v>
      </c>
      <c r="E12" s="181">
        <v>19312</v>
      </c>
      <c r="F12" s="181">
        <v>18394</v>
      </c>
      <c r="G12" s="181">
        <v>18449</v>
      </c>
      <c r="H12" s="181">
        <v>18664</v>
      </c>
      <c r="I12" s="181">
        <v>18644</v>
      </c>
      <c r="J12" s="181">
        <v>19624</v>
      </c>
      <c r="K12" s="181">
        <v>25117</v>
      </c>
      <c r="L12" s="181">
        <v>25143</v>
      </c>
      <c r="M12" s="181">
        <v>31719</v>
      </c>
      <c r="N12" s="181">
        <v>37986</v>
      </c>
      <c r="O12" s="170">
        <v>38329</v>
      </c>
      <c r="P12" s="170">
        <v>38444</v>
      </c>
      <c r="Q12" s="170">
        <v>38791</v>
      </c>
      <c r="R12" s="170">
        <v>39092</v>
      </c>
      <c r="S12" s="181">
        <v>34837</v>
      </c>
      <c r="T12" s="181">
        <v>34895</v>
      </c>
      <c r="U12" s="181">
        <v>37939</v>
      </c>
      <c r="V12" s="383">
        <v>37446</v>
      </c>
      <c r="W12" s="181">
        <v>37446</v>
      </c>
      <c r="X12" s="181">
        <v>42616</v>
      </c>
      <c r="Y12" s="465">
        <v>42685</v>
      </c>
    </row>
    <row r="13" spans="1:25" ht="18" customHeight="1">
      <c r="A13" s="193" t="s">
        <v>363</v>
      </c>
      <c r="B13" s="181">
        <v>53196</v>
      </c>
      <c r="C13" s="181">
        <v>59301</v>
      </c>
      <c r="D13" s="181">
        <v>64055</v>
      </c>
      <c r="E13" s="181">
        <v>68660</v>
      </c>
      <c r="F13" s="181">
        <v>64302</v>
      </c>
      <c r="G13" s="181">
        <v>88752</v>
      </c>
      <c r="H13" s="181">
        <v>105987</v>
      </c>
      <c r="I13" s="181">
        <v>95150</v>
      </c>
      <c r="J13" s="181">
        <v>118155</v>
      </c>
      <c r="K13" s="181">
        <v>121630</v>
      </c>
      <c r="L13" s="181">
        <v>125580</v>
      </c>
      <c r="M13" s="181">
        <v>129818</v>
      </c>
      <c r="N13" s="181">
        <v>131782</v>
      </c>
      <c r="O13" s="170">
        <v>100856</v>
      </c>
      <c r="P13" s="170">
        <v>115224</v>
      </c>
      <c r="Q13" s="170">
        <v>115231</v>
      </c>
      <c r="R13" s="170">
        <v>107508</v>
      </c>
      <c r="S13" s="181">
        <v>107612</v>
      </c>
      <c r="T13" s="181">
        <v>113367</v>
      </c>
      <c r="U13" s="181">
        <v>117013</v>
      </c>
      <c r="V13" s="383">
        <v>116824</v>
      </c>
      <c r="W13" s="181">
        <v>116824</v>
      </c>
      <c r="X13" s="181">
        <v>117012</v>
      </c>
      <c r="Y13" s="465">
        <v>103350</v>
      </c>
    </row>
    <row r="15" ht="12.75">
      <c r="A15" s="6" t="s">
        <v>519</v>
      </c>
    </row>
    <row r="16" ht="12.75">
      <c r="A16" s="483" t="s">
        <v>883</v>
      </c>
    </row>
    <row r="17" ht="12.75">
      <c r="A17" s="13" t="s">
        <v>759</v>
      </c>
    </row>
    <row r="18" spans="1:25" ht="12.75">
      <c r="A18" s="1106" t="s">
        <v>780</v>
      </c>
      <c r="B18" s="1106"/>
      <c r="C18" s="1106"/>
      <c r="D18" s="1106"/>
      <c r="E18" s="1106"/>
      <c r="F18" s="1106"/>
      <c r="G18" s="1106"/>
      <c r="H18" s="1106"/>
      <c r="I18" s="1106"/>
      <c r="J18" s="1106"/>
      <c r="K18" s="1106"/>
      <c r="L18" s="1106"/>
      <c r="M18" s="1106"/>
      <c r="N18" s="1106"/>
      <c r="O18" s="1106"/>
      <c r="P18" s="1106"/>
      <c r="Q18" s="1106"/>
      <c r="R18" s="1106"/>
      <c r="S18" s="1106"/>
      <c r="T18" s="1106"/>
      <c r="U18" s="1106"/>
      <c r="V18" s="1106"/>
      <c r="W18" s="1106"/>
      <c r="X18" s="1106"/>
      <c r="Y18" s="1107"/>
    </row>
    <row r="19" spans="1:25" ht="12.75">
      <c r="A19" s="1106" t="s">
        <v>821</v>
      </c>
      <c r="B19" s="1106"/>
      <c r="C19" s="1106"/>
      <c r="D19" s="1106"/>
      <c r="E19" s="1106"/>
      <c r="F19" s="1106"/>
      <c r="G19" s="1106"/>
      <c r="H19" s="1106"/>
      <c r="I19" s="1106"/>
      <c r="J19" s="1106"/>
      <c r="K19" s="1106"/>
      <c r="L19" s="1106"/>
      <c r="M19" s="1106"/>
      <c r="N19" s="1106"/>
      <c r="O19" s="1106"/>
      <c r="P19" s="1106"/>
      <c r="Q19" s="1106"/>
      <c r="R19" s="1106"/>
      <c r="S19" s="1106"/>
      <c r="T19" s="1106"/>
      <c r="U19" s="1106"/>
      <c r="V19" s="1106"/>
      <c r="W19" s="1106"/>
      <c r="X19" s="1106"/>
      <c r="Y19" s="1193"/>
    </row>
    <row r="20" ht="12.75">
      <c r="A20" s="17"/>
    </row>
    <row r="21" ht="12.75">
      <c r="A21" s="17"/>
    </row>
    <row r="22" ht="12.75">
      <c r="A22" s="17"/>
    </row>
    <row r="23" ht="12.75">
      <c r="A23" s="17"/>
    </row>
  </sheetData>
  <sheetProtection/>
  <mergeCells count="5">
    <mergeCell ref="A1:Y1"/>
    <mergeCell ref="A3:Y3"/>
    <mergeCell ref="A4:Y4"/>
    <mergeCell ref="A18:Y18"/>
    <mergeCell ref="A19:Y19"/>
  </mergeCells>
  <printOptions horizontalCentered="1"/>
  <pageMargins left="0.7874015748031497" right="0.7874015748031497" top="0.984251968503937" bottom="0.984251968503937" header="0" footer="0"/>
  <pageSetup fitToHeight="1" fitToWidth="1" horizontalDpi="600" verticalDpi="600" orientation="landscape" scale="42"/>
</worksheet>
</file>

<file path=xl/worksheets/sheet38.xml><?xml version="1.0" encoding="utf-8"?>
<worksheet xmlns="http://schemas.openxmlformats.org/spreadsheetml/2006/main" xmlns:r="http://schemas.openxmlformats.org/officeDocument/2006/relationships">
  <sheetPr>
    <tabColor rgb="FF660066"/>
    <pageSetUpPr fitToPage="1"/>
  </sheetPr>
  <dimension ref="A1:Y21"/>
  <sheetViews>
    <sheetView tabSelected="1" zoomScalePageLayoutView="0" workbookViewId="0" topLeftCell="A1">
      <selection activeCell="E25" sqref="E25"/>
    </sheetView>
  </sheetViews>
  <sheetFormatPr defaultColWidth="10.8515625" defaultRowHeight="12.75"/>
  <cols>
    <col min="1" max="1" width="42.7109375" style="65" customWidth="1"/>
    <col min="2" max="23" width="10.8515625" style="65" customWidth="1"/>
    <col min="24" max="24" width="10.8515625" style="753" customWidth="1"/>
    <col min="25" max="16384" width="10.8515625" style="65" customWidth="1"/>
  </cols>
  <sheetData>
    <row r="1" spans="1:24" ht="12.75">
      <c r="A1" s="1171" t="s">
        <v>592</v>
      </c>
      <c r="B1" s="1171"/>
      <c r="C1" s="1171"/>
      <c r="D1" s="1171"/>
      <c r="E1" s="1171"/>
      <c r="F1" s="1171"/>
      <c r="G1" s="1171"/>
      <c r="H1" s="1171"/>
      <c r="I1" s="1171"/>
      <c r="J1" s="1171"/>
      <c r="K1" s="1171"/>
      <c r="L1" s="1171"/>
      <c r="M1" s="1171"/>
      <c r="N1" s="1171"/>
      <c r="O1" s="1171"/>
      <c r="P1" s="1171"/>
      <c r="Q1" s="1171"/>
      <c r="R1" s="1171"/>
      <c r="S1" s="1171"/>
      <c r="T1" s="1171"/>
      <c r="U1" s="1171"/>
      <c r="V1" s="1171"/>
      <c r="W1" s="1171"/>
      <c r="X1" s="1171"/>
    </row>
    <row r="2" spans="1:10" ht="12.75" customHeight="1">
      <c r="A2" s="393"/>
      <c r="B2" s="393"/>
      <c r="C2" s="393"/>
      <c r="D2" s="393"/>
      <c r="E2" s="393"/>
      <c r="F2" s="393"/>
      <c r="G2" s="393"/>
      <c r="H2" s="393"/>
      <c r="I2" s="393"/>
      <c r="J2" s="393"/>
    </row>
    <row r="3" spans="1:24" ht="18" customHeight="1">
      <c r="A3" s="1116" t="s">
        <v>26</v>
      </c>
      <c r="B3" s="1116"/>
      <c r="C3" s="1116"/>
      <c r="D3" s="1116"/>
      <c r="E3" s="1116"/>
      <c r="F3" s="1116"/>
      <c r="G3" s="1116"/>
      <c r="H3" s="1116"/>
      <c r="I3" s="1116"/>
      <c r="J3" s="1116"/>
      <c r="K3" s="1123"/>
      <c r="L3" s="1123"/>
      <c r="M3" s="1123"/>
      <c r="N3" s="1123"/>
      <c r="O3" s="1123"/>
      <c r="P3" s="1123"/>
      <c r="Q3" s="1123"/>
      <c r="R3" s="1123"/>
      <c r="S3" s="1123"/>
      <c r="T3" s="1123"/>
      <c r="U3" s="1123"/>
      <c r="V3" s="1123"/>
      <c r="W3" s="1123"/>
      <c r="X3" s="1123"/>
    </row>
    <row r="4" spans="1:24" ht="18" customHeight="1">
      <c r="A4" s="1117" t="s">
        <v>720</v>
      </c>
      <c r="B4" s="1117"/>
      <c r="C4" s="1117"/>
      <c r="D4" s="1117"/>
      <c r="E4" s="1117"/>
      <c r="F4" s="1117"/>
      <c r="G4" s="1117"/>
      <c r="H4" s="1117"/>
      <c r="I4" s="1117"/>
      <c r="J4" s="1117"/>
      <c r="K4" s="1125"/>
      <c r="L4" s="1125"/>
      <c r="M4" s="1125"/>
      <c r="N4" s="1125"/>
      <c r="O4" s="1125"/>
      <c r="P4" s="1125"/>
      <c r="Q4" s="1125"/>
      <c r="R4" s="1125"/>
      <c r="S4" s="1125"/>
      <c r="T4" s="1125"/>
      <c r="U4" s="1125"/>
      <c r="V4" s="1125"/>
      <c r="W4" s="1125"/>
      <c r="X4" s="1125"/>
    </row>
    <row r="5" ht="18" customHeight="1"/>
    <row r="6" spans="1:24" ht="18" customHeight="1">
      <c r="A6" s="521"/>
      <c r="B6" s="509">
        <v>2000</v>
      </c>
      <c r="C6" s="509">
        <v>2001</v>
      </c>
      <c r="D6" s="509">
        <v>2002</v>
      </c>
      <c r="E6" s="509">
        <v>2003</v>
      </c>
      <c r="F6" s="509">
        <v>2004</v>
      </c>
      <c r="G6" s="509">
        <v>2005</v>
      </c>
      <c r="H6" s="509">
        <v>2006</v>
      </c>
      <c r="I6" s="509">
        <v>2007</v>
      </c>
      <c r="J6" s="509">
        <v>2008</v>
      </c>
      <c r="K6" s="509">
        <v>2009</v>
      </c>
      <c r="L6" s="509">
        <v>2010</v>
      </c>
      <c r="M6" s="509">
        <v>2011</v>
      </c>
      <c r="N6" s="509">
        <v>2012</v>
      </c>
      <c r="O6" s="509">
        <v>2013</v>
      </c>
      <c r="P6" s="509">
        <v>2014</v>
      </c>
      <c r="Q6" s="509">
        <v>2015</v>
      </c>
      <c r="R6" s="509">
        <v>2016</v>
      </c>
      <c r="S6" s="509">
        <v>2017</v>
      </c>
      <c r="T6" s="509">
        <v>2018</v>
      </c>
      <c r="U6" s="509">
        <v>2019</v>
      </c>
      <c r="V6" s="509">
        <v>2020</v>
      </c>
      <c r="W6" s="509">
        <v>2021</v>
      </c>
      <c r="X6" s="802">
        <v>2022</v>
      </c>
    </row>
    <row r="7" spans="1:24" ht="18" customHeight="1">
      <c r="A7" s="510" t="s">
        <v>364</v>
      </c>
      <c r="B7" s="511">
        <f aca="true" t="shared" si="0" ref="B7:L7">SUM(B8:B10)</f>
        <v>1225</v>
      </c>
      <c r="C7" s="511">
        <f t="shared" si="0"/>
        <v>1665</v>
      </c>
      <c r="D7" s="511">
        <f t="shared" si="0"/>
        <v>1728</v>
      </c>
      <c r="E7" s="511">
        <f t="shared" si="0"/>
        <v>1836</v>
      </c>
      <c r="F7" s="511">
        <f t="shared" si="0"/>
        <v>1705</v>
      </c>
      <c r="G7" s="511">
        <f t="shared" si="0"/>
        <v>2053</v>
      </c>
      <c r="H7" s="511">
        <f t="shared" si="0"/>
        <v>1896</v>
      </c>
      <c r="I7" s="511">
        <f t="shared" si="0"/>
        <v>2124</v>
      </c>
      <c r="J7" s="511">
        <f t="shared" si="0"/>
        <v>2355</v>
      </c>
      <c r="K7" s="511">
        <f t="shared" si="0"/>
        <v>2088</v>
      </c>
      <c r="L7" s="511">
        <f t="shared" si="0"/>
        <v>2341</v>
      </c>
      <c r="M7" s="511">
        <f aca="true" t="shared" si="1" ref="M7:U7">SUM(M8:M10)</f>
        <v>2633</v>
      </c>
      <c r="N7" s="511">
        <f t="shared" si="1"/>
        <v>2712</v>
      </c>
      <c r="O7" s="511">
        <f t="shared" si="1"/>
        <v>2224</v>
      </c>
      <c r="P7" s="511">
        <f t="shared" si="1"/>
        <v>2570</v>
      </c>
      <c r="Q7" s="511">
        <f t="shared" si="1"/>
        <v>2918</v>
      </c>
      <c r="R7" s="511">
        <f t="shared" si="1"/>
        <v>2739</v>
      </c>
      <c r="S7" s="511">
        <f t="shared" si="1"/>
        <v>2986</v>
      </c>
      <c r="T7" s="511">
        <f t="shared" si="1"/>
        <v>2966</v>
      </c>
      <c r="U7" s="511">
        <f t="shared" si="1"/>
        <v>3270</v>
      </c>
      <c r="V7" s="511">
        <f>SUM(V8:V10)</f>
        <v>2236</v>
      </c>
      <c r="W7" s="511">
        <f>SUM(W8:W10)</f>
        <v>2245</v>
      </c>
      <c r="X7" s="803">
        <f>SUM(X8:X10)</f>
        <v>2991</v>
      </c>
    </row>
    <row r="8" spans="1:24" ht="18" customHeight="1">
      <c r="A8" s="512" t="s">
        <v>319</v>
      </c>
      <c r="B8" s="374">
        <v>934</v>
      </c>
      <c r="C8" s="374">
        <v>1300</v>
      </c>
      <c r="D8" s="374">
        <v>1104</v>
      </c>
      <c r="E8" s="374">
        <v>1158</v>
      </c>
      <c r="F8" s="374">
        <v>1194</v>
      </c>
      <c r="G8" s="374">
        <v>1289</v>
      </c>
      <c r="H8" s="374">
        <v>1244</v>
      </c>
      <c r="I8" s="374">
        <v>1568</v>
      </c>
      <c r="J8" s="374">
        <v>1323</v>
      </c>
      <c r="K8" s="374">
        <v>1195</v>
      </c>
      <c r="L8" s="374">
        <v>1408</v>
      </c>
      <c r="M8" s="374">
        <v>1192</v>
      </c>
      <c r="N8" s="374">
        <v>1348</v>
      </c>
      <c r="O8" s="374">
        <v>1174</v>
      </c>
      <c r="P8" s="374">
        <v>1483</v>
      </c>
      <c r="Q8" s="374">
        <v>1474</v>
      </c>
      <c r="R8" s="374">
        <v>1309</v>
      </c>
      <c r="S8" s="374">
        <v>1490</v>
      </c>
      <c r="T8" s="374">
        <v>1608</v>
      </c>
      <c r="U8" s="374">
        <v>1425</v>
      </c>
      <c r="V8" s="374">
        <v>885</v>
      </c>
      <c r="W8" s="374">
        <v>788</v>
      </c>
      <c r="X8" s="804">
        <v>920</v>
      </c>
    </row>
    <row r="9" spans="1:25" ht="18" customHeight="1">
      <c r="A9" s="512" t="s">
        <v>365</v>
      </c>
      <c r="B9" s="374">
        <v>97</v>
      </c>
      <c r="C9" s="374">
        <v>127</v>
      </c>
      <c r="D9" s="374">
        <v>187</v>
      </c>
      <c r="E9" s="374">
        <v>201</v>
      </c>
      <c r="F9" s="374">
        <v>41</v>
      </c>
      <c r="G9" s="374">
        <v>143</v>
      </c>
      <c r="H9" s="374">
        <v>86</v>
      </c>
      <c r="I9" s="374">
        <v>205</v>
      </c>
      <c r="J9" s="374">
        <v>342</v>
      </c>
      <c r="K9" s="374">
        <v>353</v>
      </c>
      <c r="L9" s="374">
        <v>353</v>
      </c>
      <c r="M9" s="374">
        <v>344</v>
      </c>
      <c r="N9" s="374">
        <v>633</v>
      </c>
      <c r="O9" s="374">
        <v>495</v>
      </c>
      <c r="P9" s="374">
        <v>495</v>
      </c>
      <c r="Q9" s="374">
        <v>641</v>
      </c>
      <c r="R9" s="374">
        <v>635</v>
      </c>
      <c r="S9" s="374">
        <v>642</v>
      </c>
      <c r="T9" s="374">
        <v>607</v>
      </c>
      <c r="U9" s="374">
        <v>800</v>
      </c>
      <c r="V9" s="374">
        <v>622</v>
      </c>
      <c r="W9" s="374">
        <v>770</v>
      </c>
      <c r="X9" s="804">
        <v>1050</v>
      </c>
      <c r="Y9" s="408"/>
    </row>
    <row r="10" spans="1:24" ht="18" customHeight="1">
      <c r="A10" s="512" t="s">
        <v>677</v>
      </c>
      <c r="B10" s="374">
        <v>194</v>
      </c>
      <c r="C10" s="374">
        <v>238</v>
      </c>
      <c r="D10" s="374">
        <v>437</v>
      </c>
      <c r="E10" s="374">
        <v>477</v>
      </c>
      <c r="F10" s="374">
        <v>470</v>
      </c>
      <c r="G10" s="374">
        <v>621</v>
      </c>
      <c r="H10" s="374">
        <v>566</v>
      </c>
      <c r="I10" s="374">
        <v>351</v>
      </c>
      <c r="J10" s="374">
        <v>690</v>
      </c>
      <c r="K10" s="374">
        <v>540</v>
      </c>
      <c r="L10" s="374">
        <v>580</v>
      </c>
      <c r="M10" s="374">
        <v>1097</v>
      </c>
      <c r="N10" s="374">
        <v>731</v>
      </c>
      <c r="O10" s="374">
        <v>555</v>
      </c>
      <c r="P10" s="374">
        <v>592</v>
      </c>
      <c r="Q10" s="374">
        <v>803</v>
      </c>
      <c r="R10" s="374">
        <v>795</v>
      </c>
      <c r="S10" s="374">
        <v>854</v>
      </c>
      <c r="T10" s="374">
        <v>751</v>
      </c>
      <c r="U10" s="374">
        <v>1045</v>
      </c>
      <c r="V10" s="374">
        <v>729</v>
      </c>
      <c r="W10" s="374">
        <v>687</v>
      </c>
      <c r="X10" s="804">
        <v>1021</v>
      </c>
    </row>
    <row r="11" spans="1:24" ht="18" customHeight="1">
      <c r="A11" s="522" t="s">
        <v>577</v>
      </c>
      <c r="B11" s="523">
        <v>1375</v>
      </c>
      <c r="C11" s="523">
        <v>1927</v>
      </c>
      <c r="D11" s="523">
        <v>2248</v>
      </c>
      <c r="E11" s="523">
        <v>2569</v>
      </c>
      <c r="F11" s="523">
        <v>2536</v>
      </c>
      <c r="G11" s="523">
        <v>703</v>
      </c>
      <c r="H11" s="523">
        <v>1459</v>
      </c>
      <c r="I11" s="523">
        <v>2593</v>
      </c>
      <c r="J11" s="523">
        <v>1616</v>
      </c>
      <c r="K11" s="523">
        <v>1894</v>
      </c>
      <c r="L11" s="523">
        <v>2411</v>
      </c>
      <c r="M11" s="523">
        <v>2555</v>
      </c>
      <c r="N11" s="523">
        <v>10649</v>
      </c>
      <c r="O11" s="523">
        <v>6820</v>
      </c>
      <c r="P11" s="523">
        <v>8202</v>
      </c>
      <c r="Q11" s="523">
        <v>8919</v>
      </c>
      <c r="R11" s="523">
        <v>9702</v>
      </c>
      <c r="S11" s="523">
        <v>5766</v>
      </c>
      <c r="T11" s="523">
        <v>7763</v>
      </c>
      <c r="U11" s="523">
        <v>7306</v>
      </c>
      <c r="V11" s="523">
        <v>3101</v>
      </c>
      <c r="W11" s="523">
        <v>8971</v>
      </c>
      <c r="X11" s="971">
        <v>5191</v>
      </c>
    </row>
    <row r="12" ht="13.5" customHeight="1"/>
    <row r="13" spans="1:24" s="53" customFormat="1" ht="13.5" customHeight="1">
      <c r="A13" s="55" t="s">
        <v>366</v>
      </c>
      <c r="X13" s="771"/>
    </row>
    <row r="14" spans="1:24" s="53" customFormat="1" ht="13.5" customHeight="1">
      <c r="A14" s="55" t="s">
        <v>367</v>
      </c>
      <c r="X14" s="771"/>
    </row>
    <row r="15" ht="13.5" customHeight="1"/>
    <row r="16" spans="1:24" s="53" customFormat="1" ht="13.5" customHeight="1">
      <c r="A16" s="53" t="s">
        <v>368</v>
      </c>
      <c r="X16" s="771"/>
    </row>
    <row r="17" spans="1:24" s="53" customFormat="1" ht="13.5" customHeight="1">
      <c r="A17" s="1118" t="s">
        <v>780</v>
      </c>
      <c r="B17" s="1118"/>
      <c r="C17" s="1118"/>
      <c r="D17" s="1118"/>
      <c r="E17" s="1118"/>
      <c r="F17" s="1118"/>
      <c r="G17" s="1118"/>
      <c r="H17" s="1118"/>
      <c r="I17" s="1118"/>
      <c r="J17" s="1118"/>
      <c r="K17" s="1125"/>
      <c r="L17" s="1125"/>
      <c r="M17" s="1125"/>
      <c r="N17" s="1125"/>
      <c r="O17" s="1125"/>
      <c r="P17" s="1125"/>
      <c r="Q17" s="1125"/>
      <c r="R17" s="1125"/>
      <c r="S17" s="1125"/>
      <c r="T17" s="1125"/>
      <c r="U17" s="1125"/>
      <c r="V17" s="1125"/>
      <c r="W17" s="1125"/>
      <c r="X17" s="1125"/>
    </row>
    <row r="18" spans="1:24" ht="13.5" customHeight="1">
      <c r="A18" s="1118" t="s">
        <v>827</v>
      </c>
      <c r="B18" s="1118"/>
      <c r="C18" s="1118"/>
      <c r="D18" s="1118"/>
      <c r="E18" s="1118"/>
      <c r="F18" s="1118"/>
      <c r="G18" s="1118"/>
      <c r="H18" s="1118"/>
      <c r="I18" s="1118"/>
      <c r="J18" s="1118"/>
      <c r="K18" s="1125"/>
      <c r="L18" s="1125"/>
      <c r="M18" s="1125"/>
      <c r="N18" s="1125"/>
      <c r="O18" s="1125"/>
      <c r="P18" s="1125"/>
      <c r="Q18" s="1125"/>
      <c r="R18" s="1125"/>
      <c r="S18" s="1125"/>
      <c r="T18" s="1125"/>
      <c r="U18" s="1125"/>
      <c r="V18" s="1125"/>
      <c r="W18" s="1125"/>
      <c r="X18" s="1125"/>
    </row>
    <row r="21" spans="13:24" ht="12.75">
      <c r="M21" s="408"/>
      <c r="N21" s="408"/>
      <c r="O21" s="408"/>
      <c r="P21" s="408"/>
      <c r="Q21" s="408"/>
      <c r="R21" s="408"/>
      <c r="S21" s="408"/>
      <c r="T21" s="408"/>
      <c r="U21" s="408"/>
      <c r="V21" s="408"/>
      <c r="W21" s="408"/>
      <c r="X21" s="472"/>
    </row>
  </sheetData>
  <sheetProtection/>
  <mergeCells count="5">
    <mergeCell ref="A1:X1"/>
    <mergeCell ref="A3:X3"/>
    <mergeCell ref="A4:X4"/>
    <mergeCell ref="A17:X17"/>
    <mergeCell ref="A18:X18"/>
  </mergeCells>
  <printOptions horizontalCentered="1"/>
  <pageMargins left="0.7874015748031497" right="0.7874015748031497" top="0.984251968503937" bottom="0.984251968503937" header="0" footer="0"/>
  <pageSetup fitToHeight="1" fitToWidth="1" horizontalDpi="600" verticalDpi="600" orientation="landscape" scale="47"/>
</worksheet>
</file>

<file path=xl/worksheets/sheet39.xml><?xml version="1.0" encoding="utf-8"?>
<worksheet xmlns="http://schemas.openxmlformats.org/spreadsheetml/2006/main" xmlns:r="http://schemas.openxmlformats.org/officeDocument/2006/relationships">
  <sheetPr>
    <tabColor rgb="FF660066"/>
    <pageSetUpPr fitToPage="1"/>
  </sheetPr>
  <dimension ref="A1:Y55"/>
  <sheetViews>
    <sheetView zoomScalePageLayoutView="0" workbookViewId="0" topLeftCell="A1">
      <selection activeCell="A1" sqref="A1:X1"/>
    </sheetView>
  </sheetViews>
  <sheetFormatPr defaultColWidth="10.8515625" defaultRowHeight="12.75"/>
  <cols>
    <col min="1" max="1" width="60.8515625" style="17" customWidth="1"/>
    <col min="2" max="8" width="10.8515625" style="17" customWidth="1"/>
    <col min="9" max="16" width="10.8515625" style="5" customWidth="1"/>
    <col min="17" max="18" width="10.8515625" style="17" customWidth="1"/>
    <col min="19" max="23" width="10.8515625" style="5" customWidth="1"/>
    <col min="24" max="24" width="10.8515625" style="473" customWidth="1"/>
    <col min="25" max="16384" width="10.8515625" style="17" customWidth="1"/>
  </cols>
  <sheetData>
    <row r="1" spans="1:24" ht="12.75" customHeight="1">
      <c r="A1" s="1175" t="s">
        <v>593</v>
      </c>
      <c r="B1" s="1175"/>
      <c r="C1" s="1175"/>
      <c r="D1" s="1175"/>
      <c r="E1" s="1175"/>
      <c r="F1" s="1175"/>
      <c r="G1" s="1175"/>
      <c r="H1" s="1175"/>
      <c r="I1" s="1175"/>
      <c r="J1" s="1175"/>
      <c r="K1" s="1175"/>
      <c r="L1" s="1175"/>
      <c r="M1" s="1175"/>
      <c r="N1" s="1175"/>
      <c r="O1" s="1175"/>
      <c r="P1" s="1175"/>
      <c r="Q1" s="1175"/>
      <c r="R1" s="1175"/>
      <c r="S1" s="1175"/>
      <c r="T1" s="1175"/>
      <c r="U1" s="1175"/>
      <c r="V1" s="1175"/>
      <c r="W1" s="1175"/>
      <c r="X1" s="1175"/>
    </row>
    <row r="2" spans="1:24" ht="12.75" customHeight="1">
      <c r="A2" s="292"/>
      <c r="B2" s="292"/>
      <c r="C2" s="292"/>
      <c r="D2" s="292"/>
      <c r="E2" s="292"/>
      <c r="F2" s="292"/>
      <c r="G2" s="292"/>
      <c r="H2" s="292"/>
      <c r="I2" s="292"/>
      <c r="J2" s="292"/>
      <c r="K2" s="292"/>
      <c r="L2" s="292"/>
      <c r="M2" s="292"/>
      <c r="N2" s="292"/>
      <c r="O2" s="292"/>
      <c r="P2" s="292"/>
      <c r="Q2" s="292"/>
      <c r="R2" s="292"/>
      <c r="S2" s="291"/>
      <c r="T2" s="291"/>
      <c r="U2" s="291"/>
      <c r="V2" s="291" t="s">
        <v>333</v>
      </c>
      <c r="W2" s="291" t="s">
        <v>333</v>
      </c>
      <c r="X2" s="466" t="s">
        <v>333</v>
      </c>
    </row>
    <row r="3" spans="1:24" s="5" customFormat="1" ht="18" customHeight="1">
      <c r="A3" s="1109" t="s">
        <v>27</v>
      </c>
      <c r="B3" s="1109"/>
      <c r="C3" s="1109"/>
      <c r="D3" s="1109"/>
      <c r="E3" s="1109"/>
      <c r="F3" s="1109"/>
      <c r="G3" s="1109"/>
      <c r="H3" s="1109"/>
      <c r="I3" s="1109"/>
      <c r="J3" s="1109"/>
      <c r="K3" s="1109"/>
      <c r="L3" s="1109"/>
      <c r="M3" s="1109"/>
      <c r="N3" s="1109"/>
      <c r="O3" s="1109"/>
      <c r="P3" s="1109"/>
      <c r="Q3" s="1109"/>
      <c r="R3" s="1109"/>
      <c r="S3" s="1109"/>
      <c r="T3" s="1109"/>
      <c r="U3" s="1109"/>
      <c r="V3" s="1109"/>
      <c r="W3" s="1109"/>
      <c r="X3" s="1175"/>
    </row>
    <row r="4" spans="1:24" s="5" customFormat="1" ht="18" customHeight="1">
      <c r="A4" s="1111" t="s">
        <v>720</v>
      </c>
      <c r="B4" s="1111"/>
      <c r="C4" s="1111"/>
      <c r="D4" s="1111"/>
      <c r="E4" s="1111"/>
      <c r="F4" s="1111"/>
      <c r="G4" s="1111"/>
      <c r="H4" s="1111"/>
      <c r="I4" s="1111"/>
      <c r="J4" s="1111"/>
      <c r="K4" s="1111"/>
      <c r="L4" s="1111"/>
      <c r="M4" s="1111"/>
      <c r="N4" s="1111"/>
      <c r="O4" s="1111"/>
      <c r="P4" s="1111"/>
      <c r="Q4" s="1111"/>
      <c r="R4" s="1111"/>
      <c r="S4" s="1111"/>
      <c r="T4" s="1111"/>
      <c r="U4" s="1111"/>
      <c r="V4" s="1111"/>
      <c r="W4" s="1111"/>
      <c r="X4" s="1194"/>
    </row>
    <row r="5" spans="1:24" s="5" customFormat="1" ht="18" customHeight="1">
      <c r="A5" s="17"/>
      <c r="H5" s="29"/>
      <c r="I5" s="29"/>
      <c r="J5" s="29"/>
      <c r="K5" s="29"/>
      <c r="L5" s="29"/>
      <c r="M5" s="29"/>
      <c r="N5" s="29"/>
      <c r="O5" s="29"/>
      <c r="P5" s="29"/>
      <c r="Q5" s="28"/>
      <c r="R5" s="28"/>
      <c r="S5" s="29"/>
      <c r="T5" s="29"/>
      <c r="U5" s="29"/>
      <c r="V5" s="29"/>
      <c r="W5" s="29"/>
      <c r="X5" s="956"/>
    </row>
    <row r="6" spans="1:24" s="48" customFormat="1" ht="18" customHeight="1">
      <c r="A6" s="17"/>
      <c r="B6" s="290">
        <v>2000</v>
      </c>
      <c r="C6" s="290">
        <v>2001</v>
      </c>
      <c r="D6" s="290">
        <v>2002</v>
      </c>
      <c r="E6" s="290">
        <v>2003</v>
      </c>
      <c r="F6" s="290">
        <v>2004</v>
      </c>
      <c r="G6" s="290">
        <v>2005</v>
      </c>
      <c r="H6" s="290">
        <v>2006</v>
      </c>
      <c r="I6" s="290">
        <v>2007</v>
      </c>
      <c r="J6" s="290">
        <v>2008</v>
      </c>
      <c r="K6" s="140">
        <v>2009</v>
      </c>
      <c r="L6" s="290">
        <v>2010</v>
      </c>
      <c r="M6" s="290">
        <v>2011</v>
      </c>
      <c r="N6" s="290">
        <v>2012</v>
      </c>
      <c r="O6" s="290">
        <v>2013</v>
      </c>
      <c r="P6" s="290">
        <v>2014</v>
      </c>
      <c r="Q6" s="290">
        <v>2015</v>
      </c>
      <c r="R6" s="290">
        <v>2016</v>
      </c>
      <c r="S6" s="290">
        <v>2017</v>
      </c>
      <c r="T6" s="290">
        <v>2018</v>
      </c>
      <c r="U6" s="290">
        <v>2019</v>
      </c>
      <c r="V6" s="290" t="s">
        <v>746</v>
      </c>
      <c r="W6" s="290">
        <v>2021</v>
      </c>
      <c r="X6" s="463">
        <v>2022</v>
      </c>
    </row>
    <row r="7" spans="1:24" s="11" customFormat="1" ht="18" customHeight="1">
      <c r="A7" s="150" t="s">
        <v>369</v>
      </c>
      <c r="B7" s="192">
        <v>138</v>
      </c>
      <c r="C7" s="192">
        <v>139</v>
      </c>
      <c r="D7" s="192">
        <v>138</v>
      </c>
      <c r="E7" s="192">
        <v>138</v>
      </c>
      <c r="F7" s="192">
        <v>139</v>
      </c>
      <c r="G7" s="192">
        <v>142</v>
      </c>
      <c r="H7" s="192">
        <v>142</v>
      </c>
      <c r="I7" s="192">
        <v>141</v>
      </c>
      <c r="J7" s="192">
        <v>139</v>
      </c>
      <c r="K7" s="192">
        <v>139</v>
      </c>
      <c r="L7" s="192">
        <v>134</v>
      </c>
      <c r="M7" s="192">
        <v>134</v>
      </c>
      <c r="N7" s="192">
        <v>134</v>
      </c>
      <c r="O7" s="192">
        <v>131</v>
      </c>
      <c r="P7" s="192">
        <v>134</v>
      </c>
      <c r="Q7" s="192">
        <v>135</v>
      </c>
      <c r="R7" s="192">
        <v>135</v>
      </c>
      <c r="S7" s="192">
        <v>134</v>
      </c>
      <c r="T7" s="192">
        <v>133</v>
      </c>
      <c r="U7" s="192">
        <v>134</v>
      </c>
      <c r="V7" s="192">
        <v>136</v>
      </c>
      <c r="W7" s="192">
        <v>136</v>
      </c>
      <c r="X7" s="482">
        <v>139</v>
      </c>
    </row>
    <row r="8" spans="1:25" s="5" customFormat="1" ht="18" customHeight="1">
      <c r="A8" s="150" t="s">
        <v>556</v>
      </c>
      <c r="B8" s="176"/>
      <c r="C8" s="176"/>
      <c r="D8" s="176"/>
      <c r="E8" s="176"/>
      <c r="F8" s="176"/>
      <c r="G8" s="176"/>
      <c r="H8" s="176"/>
      <c r="I8" s="176"/>
      <c r="J8" s="176"/>
      <c r="K8" s="150"/>
      <c r="L8" s="176"/>
      <c r="M8" s="176"/>
      <c r="N8" s="176"/>
      <c r="O8" s="176"/>
      <c r="P8" s="176"/>
      <c r="Q8" s="176"/>
      <c r="R8" s="176"/>
      <c r="S8" s="176"/>
      <c r="T8" s="176"/>
      <c r="U8" s="176"/>
      <c r="V8" s="176"/>
      <c r="W8" s="176"/>
      <c r="X8" s="957"/>
      <c r="Y8" s="11"/>
    </row>
    <row r="9" spans="1:25" s="5" customFormat="1" ht="18" customHeight="1">
      <c r="A9" s="193" t="s">
        <v>370</v>
      </c>
      <c r="B9" s="181">
        <v>2666330</v>
      </c>
      <c r="C9" s="181">
        <v>2830719</v>
      </c>
      <c r="D9" s="181">
        <v>2905282</v>
      </c>
      <c r="E9" s="181">
        <v>3074792</v>
      </c>
      <c r="F9" s="181">
        <v>3268473</v>
      </c>
      <c r="G9" s="181">
        <v>3424246</v>
      </c>
      <c r="H9" s="181">
        <v>3718534</v>
      </c>
      <c r="I9" s="181">
        <v>3949054</v>
      </c>
      <c r="J9" s="181">
        <v>4092244</v>
      </c>
      <c r="K9" s="181">
        <v>4481042</v>
      </c>
      <c r="L9" s="181">
        <v>4480962</v>
      </c>
      <c r="M9" s="172">
        <v>4545652</v>
      </c>
      <c r="N9" s="172">
        <v>4658333</v>
      </c>
      <c r="O9" s="172">
        <v>4774077</v>
      </c>
      <c r="P9" s="172">
        <v>5155592</v>
      </c>
      <c r="Q9" s="187">
        <v>5209502</v>
      </c>
      <c r="R9" s="187">
        <v>5266995</v>
      </c>
      <c r="S9" s="172">
        <v>5285760</v>
      </c>
      <c r="T9" s="172">
        <v>4669932</v>
      </c>
      <c r="U9" s="172">
        <v>4965422</v>
      </c>
      <c r="V9" s="172">
        <v>4927596</v>
      </c>
      <c r="W9" s="172">
        <v>4967035</v>
      </c>
      <c r="X9" s="932">
        <v>4947966</v>
      </c>
      <c r="Y9" s="11"/>
    </row>
    <row r="10" spans="1:25" s="48" customFormat="1" ht="18" customHeight="1">
      <c r="A10" s="193" t="s">
        <v>371</v>
      </c>
      <c r="B10" s="181">
        <v>9614800</v>
      </c>
      <c r="C10" s="181">
        <v>10441588</v>
      </c>
      <c r="D10" s="181">
        <v>10310745</v>
      </c>
      <c r="E10" s="181">
        <v>10878353</v>
      </c>
      <c r="F10" s="181">
        <v>11421370</v>
      </c>
      <c r="G10" s="181">
        <v>11397412</v>
      </c>
      <c r="H10" s="181">
        <v>11529131</v>
      </c>
      <c r="I10" s="181">
        <v>12129494</v>
      </c>
      <c r="J10" s="181">
        <v>12987083</v>
      </c>
      <c r="K10" s="181">
        <v>13073646</v>
      </c>
      <c r="L10" s="181">
        <v>12887677</v>
      </c>
      <c r="M10" s="211">
        <v>12965254</v>
      </c>
      <c r="N10" s="211">
        <v>13202450</v>
      </c>
      <c r="O10" s="211">
        <v>13268172</v>
      </c>
      <c r="P10" s="211">
        <v>13782983</v>
      </c>
      <c r="Q10" s="211">
        <v>13924821</v>
      </c>
      <c r="R10" s="370">
        <v>13696426</v>
      </c>
      <c r="S10" s="211">
        <v>13796422</v>
      </c>
      <c r="T10" s="211">
        <v>13066415</v>
      </c>
      <c r="U10" s="211">
        <v>13824628</v>
      </c>
      <c r="V10" s="211">
        <v>13783919</v>
      </c>
      <c r="W10" s="211">
        <v>13894665</v>
      </c>
      <c r="X10" s="958">
        <v>13821365</v>
      </c>
      <c r="Y10" s="11"/>
    </row>
    <row r="11" spans="1:25" s="49" customFormat="1" ht="18" customHeight="1">
      <c r="A11" s="151" t="s">
        <v>372</v>
      </c>
      <c r="B11" s="212"/>
      <c r="C11" s="212"/>
      <c r="D11" s="212"/>
      <c r="E11" s="212"/>
      <c r="F11" s="212"/>
      <c r="G11" s="212"/>
      <c r="H11" s="212"/>
      <c r="I11" s="212"/>
      <c r="J11" s="212"/>
      <c r="K11" s="151"/>
      <c r="L11" s="212"/>
      <c r="M11" s="212"/>
      <c r="N11" s="212"/>
      <c r="O11" s="212"/>
      <c r="P11" s="212"/>
      <c r="Q11" s="212"/>
      <c r="R11" s="212"/>
      <c r="S11" s="212"/>
      <c r="T11" s="212"/>
      <c r="U11" s="212"/>
      <c r="V11" s="212"/>
      <c r="W11" s="212"/>
      <c r="X11" s="959"/>
      <c r="Y11" s="11"/>
    </row>
    <row r="12" spans="1:25" s="49" customFormat="1" ht="18" customHeight="1">
      <c r="A12" s="174" t="s">
        <v>373</v>
      </c>
      <c r="B12" s="181">
        <v>1857391</v>
      </c>
      <c r="C12" s="181">
        <v>1795894</v>
      </c>
      <c r="D12" s="181">
        <v>1853962</v>
      </c>
      <c r="E12" s="181">
        <v>1975273</v>
      </c>
      <c r="F12" s="181">
        <v>2084473</v>
      </c>
      <c r="G12" s="181">
        <v>2168854</v>
      </c>
      <c r="H12" s="181">
        <v>2262796</v>
      </c>
      <c r="I12" s="181">
        <v>2404110</v>
      </c>
      <c r="J12" s="181">
        <v>2485359</v>
      </c>
      <c r="K12" s="181">
        <v>2554883</v>
      </c>
      <c r="L12" s="181">
        <v>2624149</v>
      </c>
      <c r="M12" s="211">
        <v>2738472</v>
      </c>
      <c r="N12" s="211">
        <v>2804123</v>
      </c>
      <c r="O12" s="211">
        <v>2863129</v>
      </c>
      <c r="P12" s="211">
        <v>2941999</v>
      </c>
      <c r="Q12" s="211">
        <v>2674728</v>
      </c>
      <c r="R12" s="370">
        <v>3028738</v>
      </c>
      <c r="S12" s="211">
        <v>3087635</v>
      </c>
      <c r="T12" s="211">
        <v>3151614</v>
      </c>
      <c r="U12" s="211">
        <v>3242756</v>
      </c>
      <c r="V12" s="211">
        <v>3221006</v>
      </c>
      <c r="W12" s="211">
        <v>3254649</v>
      </c>
      <c r="X12" s="958">
        <v>3297966</v>
      </c>
      <c r="Y12" s="11"/>
    </row>
    <row r="13" spans="1:25" s="48" customFormat="1" ht="18" customHeight="1">
      <c r="A13" s="193" t="s">
        <v>371</v>
      </c>
      <c r="B13" s="181">
        <v>5140647</v>
      </c>
      <c r="C13" s="181">
        <v>5154349</v>
      </c>
      <c r="D13" s="181">
        <v>5265639</v>
      </c>
      <c r="E13" s="181">
        <v>5532697</v>
      </c>
      <c r="F13" s="181">
        <v>5787373</v>
      </c>
      <c r="G13" s="181">
        <v>5957418</v>
      </c>
      <c r="H13" s="181">
        <v>6140043</v>
      </c>
      <c r="I13" s="181">
        <v>6395569</v>
      </c>
      <c r="J13" s="181">
        <v>6485712</v>
      </c>
      <c r="K13" s="181">
        <v>6597337</v>
      </c>
      <c r="L13" s="181">
        <v>6746758</v>
      </c>
      <c r="M13" s="211">
        <v>6882246</v>
      </c>
      <c r="N13" s="211">
        <v>6975001</v>
      </c>
      <c r="O13" s="211">
        <v>7055021</v>
      </c>
      <c r="P13" s="211">
        <v>7180562</v>
      </c>
      <c r="Q13" s="211">
        <v>6681557</v>
      </c>
      <c r="R13" s="370">
        <v>7145258</v>
      </c>
      <c r="S13" s="211">
        <v>7247440</v>
      </c>
      <c r="T13" s="211">
        <v>7404167</v>
      </c>
      <c r="U13" s="211">
        <v>7536245</v>
      </c>
      <c r="V13" s="211">
        <v>7478661</v>
      </c>
      <c r="W13" s="211">
        <v>7562761</v>
      </c>
      <c r="X13" s="958">
        <v>7553687</v>
      </c>
      <c r="Y13" s="11"/>
    </row>
    <row r="14" spans="1:25" s="49" customFormat="1" ht="18" customHeight="1">
      <c r="A14" s="151" t="s">
        <v>704</v>
      </c>
      <c r="B14" s="212"/>
      <c r="C14" s="212"/>
      <c r="D14" s="212"/>
      <c r="E14" s="212"/>
      <c r="F14" s="212"/>
      <c r="G14" s="212"/>
      <c r="H14" s="212"/>
      <c r="I14" s="212"/>
      <c r="J14" s="212"/>
      <c r="K14" s="151"/>
      <c r="L14" s="212"/>
      <c r="M14" s="212"/>
      <c r="N14" s="212"/>
      <c r="O14" s="212"/>
      <c r="P14" s="212"/>
      <c r="Q14" s="212"/>
      <c r="R14" s="212"/>
      <c r="S14" s="212"/>
      <c r="T14" s="212"/>
      <c r="U14" s="212"/>
      <c r="V14" s="212"/>
      <c r="W14" s="212"/>
      <c r="X14" s="959"/>
      <c r="Y14" s="11"/>
    </row>
    <row r="15" spans="1:25" s="49" customFormat="1" ht="18" customHeight="1">
      <c r="A15" s="193" t="s">
        <v>374</v>
      </c>
      <c r="B15" s="213" t="s">
        <v>375</v>
      </c>
      <c r="C15" s="213" t="s">
        <v>375</v>
      </c>
      <c r="D15" s="213" t="s">
        <v>375</v>
      </c>
      <c r="E15" s="213" t="s">
        <v>375</v>
      </c>
      <c r="F15" s="181">
        <v>12934</v>
      </c>
      <c r="G15" s="181">
        <v>12530</v>
      </c>
      <c r="H15" s="181">
        <v>12246</v>
      </c>
      <c r="I15" s="181">
        <v>12515</v>
      </c>
      <c r="J15" s="181">
        <v>11945</v>
      </c>
      <c r="K15" s="181">
        <v>11653</v>
      </c>
      <c r="L15" s="181">
        <v>11309</v>
      </c>
      <c r="M15" s="211">
        <v>10413</v>
      </c>
      <c r="N15" s="211">
        <v>7384</v>
      </c>
      <c r="O15" s="211">
        <v>5445</v>
      </c>
      <c r="P15" s="211">
        <v>4271</v>
      </c>
      <c r="Q15" s="211">
        <v>3465</v>
      </c>
      <c r="R15" s="370">
        <v>3227</v>
      </c>
      <c r="S15" s="211">
        <v>2926</v>
      </c>
      <c r="T15" s="211">
        <v>2298</v>
      </c>
      <c r="U15" s="211">
        <v>2024</v>
      </c>
      <c r="V15" s="211">
        <v>1475</v>
      </c>
      <c r="W15" s="211">
        <v>1623</v>
      </c>
      <c r="X15" s="958">
        <v>1352</v>
      </c>
      <c r="Y15" s="11"/>
    </row>
    <row r="16" spans="1:25" s="5" customFormat="1" ht="18" customHeight="1">
      <c r="A16" s="193" t="s">
        <v>376</v>
      </c>
      <c r="B16" s="213" t="s">
        <v>375</v>
      </c>
      <c r="C16" s="213" t="s">
        <v>375</v>
      </c>
      <c r="D16" s="213" t="s">
        <v>375</v>
      </c>
      <c r="E16" s="213" t="s">
        <v>375</v>
      </c>
      <c r="F16" s="213" t="s">
        <v>375</v>
      </c>
      <c r="G16" s="213" t="s">
        <v>375</v>
      </c>
      <c r="H16" s="213" t="s">
        <v>375</v>
      </c>
      <c r="I16" s="181">
        <v>7512</v>
      </c>
      <c r="J16" s="181">
        <v>7264</v>
      </c>
      <c r="K16" s="181">
        <v>7368</v>
      </c>
      <c r="L16" s="181">
        <v>7147</v>
      </c>
      <c r="M16" s="172">
        <v>6690</v>
      </c>
      <c r="N16" s="172">
        <v>4638</v>
      </c>
      <c r="O16" s="172">
        <v>3367</v>
      </c>
      <c r="P16" s="172">
        <v>2659</v>
      </c>
      <c r="Q16" s="187">
        <v>2436</v>
      </c>
      <c r="R16" s="187">
        <v>2067</v>
      </c>
      <c r="S16" s="172">
        <v>1925</v>
      </c>
      <c r="T16" s="172">
        <v>1494</v>
      </c>
      <c r="U16" s="172">
        <v>1494</v>
      </c>
      <c r="V16" s="172">
        <v>1115</v>
      </c>
      <c r="W16" s="172">
        <v>1144</v>
      </c>
      <c r="X16" s="932">
        <v>992</v>
      </c>
      <c r="Y16" s="11"/>
    </row>
    <row r="17" spans="1:24" s="3" customFormat="1" ht="18" customHeight="1">
      <c r="A17" s="150" t="s">
        <v>377</v>
      </c>
      <c r="B17" s="176"/>
      <c r="C17" s="176"/>
      <c r="D17" s="176"/>
      <c r="E17" s="176"/>
      <c r="F17" s="176"/>
      <c r="G17" s="176"/>
      <c r="H17" s="176"/>
      <c r="I17" s="176"/>
      <c r="J17" s="176"/>
      <c r="K17" s="150"/>
      <c r="L17" s="176"/>
      <c r="M17" s="176"/>
      <c r="N17" s="176"/>
      <c r="O17" s="176"/>
      <c r="P17" s="176"/>
      <c r="Q17" s="176"/>
      <c r="R17" s="176"/>
      <c r="S17" s="176"/>
      <c r="T17" s="176"/>
      <c r="U17" s="176"/>
      <c r="V17" s="176"/>
      <c r="W17" s="176"/>
      <c r="X17" s="957"/>
    </row>
    <row r="18" spans="1:24" s="3" customFormat="1" ht="18" customHeight="1">
      <c r="A18" s="193" t="s">
        <v>378</v>
      </c>
      <c r="B18" s="213" t="s">
        <v>375</v>
      </c>
      <c r="C18" s="213" t="s">
        <v>375</v>
      </c>
      <c r="D18" s="213" t="s">
        <v>375</v>
      </c>
      <c r="E18" s="213" t="s">
        <v>375</v>
      </c>
      <c r="F18" s="213" t="s">
        <v>375</v>
      </c>
      <c r="G18" s="213" t="s">
        <v>375</v>
      </c>
      <c r="H18" s="213" t="s">
        <v>375</v>
      </c>
      <c r="I18" s="213" t="s">
        <v>375</v>
      </c>
      <c r="J18" s="213" t="s">
        <v>375</v>
      </c>
      <c r="K18" s="213" t="s">
        <v>375</v>
      </c>
      <c r="L18" s="181">
        <v>3033</v>
      </c>
      <c r="M18" s="181">
        <v>6674</v>
      </c>
      <c r="N18" s="181">
        <v>9499</v>
      </c>
      <c r="O18" s="181">
        <v>10143</v>
      </c>
      <c r="P18" s="181">
        <v>10160</v>
      </c>
      <c r="Q18" s="170">
        <v>10333</v>
      </c>
      <c r="R18" s="170">
        <v>10500</v>
      </c>
      <c r="S18" s="181">
        <v>11300</v>
      </c>
      <c r="T18" s="181">
        <v>11890</v>
      </c>
      <c r="U18" s="181">
        <v>11390</v>
      </c>
      <c r="V18" s="181">
        <v>11390</v>
      </c>
      <c r="W18" s="181">
        <v>11390</v>
      </c>
      <c r="X18" s="465">
        <v>11800</v>
      </c>
    </row>
    <row r="19" spans="1:24" s="3" customFormat="1" ht="18" customHeight="1">
      <c r="A19" s="193" t="s">
        <v>365</v>
      </c>
      <c r="B19" s="181" t="s">
        <v>90</v>
      </c>
      <c r="C19" s="181">
        <v>61</v>
      </c>
      <c r="D19" s="181">
        <v>132</v>
      </c>
      <c r="E19" s="181">
        <v>1400</v>
      </c>
      <c r="F19" s="181">
        <v>6330</v>
      </c>
      <c r="G19" s="181">
        <v>6500</v>
      </c>
      <c r="H19" s="181">
        <v>7175</v>
      </c>
      <c r="I19" s="181">
        <v>9286</v>
      </c>
      <c r="J19" s="181">
        <v>9936</v>
      </c>
      <c r="K19" s="181">
        <v>8688</v>
      </c>
      <c r="L19" s="181">
        <v>11544</v>
      </c>
      <c r="M19" s="181">
        <v>431124</v>
      </c>
      <c r="N19" s="181">
        <v>438916</v>
      </c>
      <c r="O19" s="181">
        <v>305572</v>
      </c>
      <c r="P19" s="181">
        <v>322230</v>
      </c>
      <c r="Q19" s="170">
        <v>396575</v>
      </c>
      <c r="R19" s="170">
        <v>419673</v>
      </c>
      <c r="S19" s="181">
        <v>426864</v>
      </c>
      <c r="T19" s="181">
        <v>447355</v>
      </c>
      <c r="U19" s="181">
        <v>462836</v>
      </c>
      <c r="V19" s="181">
        <v>470605</v>
      </c>
      <c r="W19" s="181">
        <v>486137</v>
      </c>
      <c r="X19" s="465">
        <v>517254</v>
      </c>
    </row>
    <row r="20" spans="1:24" s="3" customFormat="1" ht="18" customHeight="1">
      <c r="A20" s="188" t="s">
        <v>379</v>
      </c>
      <c r="B20" s="181" t="s">
        <v>90</v>
      </c>
      <c r="C20" s="181" t="s">
        <v>90</v>
      </c>
      <c r="D20" s="181" t="s">
        <v>90</v>
      </c>
      <c r="E20" s="181" t="s">
        <v>90</v>
      </c>
      <c r="F20" s="181" t="s">
        <v>90</v>
      </c>
      <c r="G20" s="181" t="s">
        <v>90</v>
      </c>
      <c r="H20" s="181" t="s">
        <v>90</v>
      </c>
      <c r="I20" s="181" t="s">
        <v>90</v>
      </c>
      <c r="J20" s="181" t="s">
        <v>90</v>
      </c>
      <c r="K20" s="170">
        <v>149676</v>
      </c>
      <c r="L20" s="169">
        <v>117438</v>
      </c>
      <c r="M20" s="170">
        <v>219061</v>
      </c>
      <c r="N20" s="214">
        <v>344887</v>
      </c>
      <c r="O20" s="170">
        <v>500848</v>
      </c>
      <c r="P20" s="170">
        <v>2013194</v>
      </c>
      <c r="Q20" s="170">
        <v>2546888</v>
      </c>
      <c r="R20" s="170">
        <v>2674001</v>
      </c>
      <c r="S20" s="181">
        <v>2778287</v>
      </c>
      <c r="T20" s="181">
        <v>10597263</v>
      </c>
      <c r="U20" s="181">
        <v>11056625</v>
      </c>
      <c r="V20" s="181">
        <v>11087002</v>
      </c>
      <c r="W20" s="181">
        <v>11267567</v>
      </c>
      <c r="X20" s="465">
        <v>13273768</v>
      </c>
    </row>
    <row r="21" spans="1:24" s="3" customFormat="1" ht="18" customHeight="1">
      <c r="A21" s="221" t="s">
        <v>380</v>
      </c>
      <c r="B21" s="181" t="s">
        <v>381</v>
      </c>
      <c r="C21" s="181" t="s">
        <v>382</v>
      </c>
      <c r="D21" s="181" t="s">
        <v>383</v>
      </c>
      <c r="E21" s="181" t="s">
        <v>384</v>
      </c>
      <c r="F21" s="181">
        <v>7337</v>
      </c>
      <c r="G21" s="181">
        <v>19078</v>
      </c>
      <c r="H21" s="181">
        <v>19266</v>
      </c>
      <c r="I21" s="181">
        <v>23246</v>
      </c>
      <c r="J21" s="181">
        <v>25848</v>
      </c>
      <c r="K21" s="181">
        <v>25848</v>
      </c>
      <c r="L21" s="181">
        <v>26571</v>
      </c>
      <c r="M21" s="181">
        <v>26000</v>
      </c>
      <c r="N21" s="181">
        <v>26000</v>
      </c>
      <c r="O21" s="181">
        <v>26000</v>
      </c>
      <c r="P21" s="181">
        <v>26000</v>
      </c>
      <c r="Q21" s="170">
        <v>26000</v>
      </c>
      <c r="R21" s="170">
        <v>23218</v>
      </c>
      <c r="S21" s="181">
        <v>21518</v>
      </c>
      <c r="T21" s="181">
        <v>21900</v>
      </c>
      <c r="U21" s="181">
        <v>21900</v>
      </c>
      <c r="V21" s="181">
        <v>22079</v>
      </c>
      <c r="W21" s="181">
        <v>22662</v>
      </c>
      <c r="X21" s="465">
        <v>22800</v>
      </c>
    </row>
    <row r="22" spans="1:24" s="3" customFormat="1" ht="18" customHeight="1">
      <c r="A22" s="221" t="s">
        <v>385</v>
      </c>
      <c r="B22" s="181">
        <v>105</v>
      </c>
      <c r="C22" s="181">
        <v>132</v>
      </c>
      <c r="D22" s="181">
        <v>142</v>
      </c>
      <c r="E22" s="181">
        <v>151</v>
      </c>
      <c r="F22" s="181">
        <v>167</v>
      </c>
      <c r="G22" s="181">
        <f>G23+G24</f>
        <v>189</v>
      </c>
      <c r="H22" s="181">
        <f>H23+H24</f>
        <v>230</v>
      </c>
      <c r="I22" s="181">
        <v>232</v>
      </c>
      <c r="J22" s="181">
        <v>172</v>
      </c>
      <c r="K22" s="181">
        <v>152</v>
      </c>
      <c r="L22" s="181">
        <v>155</v>
      </c>
      <c r="M22" s="215">
        <v>158</v>
      </c>
      <c r="N22" s="215">
        <v>155</v>
      </c>
      <c r="O22" s="215">
        <v>135</v>
      </c>
      <c r="P22" s="215">
        <v>135</v>
      </c>
      <c r="Q22" s="346">
        <v>146</v>
      </c>
      <c r="R22" s="346">
        <v>135</v>
      </c>
      <c r="S22" s="215">
        <v>136</v>
      </c>
      <c r="T22" s="215">
        <v>142</v>
      </c>
      <c r="U22" s="215">
        <v>142</v>
      </c>
      <c r="V22" s="215">
        <v>142</v>
      </c>
      <c r="W22" s="215">
        <v>136</v>
      </c>
      <c r="X22" s="960">
        <v>152</v>
      </c>
    </row>
    <row r="23" spans="1:24" s="3" customFormat="1" ht="18" customHeight="1">
      <c r="A23" s="205" t="s">
        <v>386</v>
      </c>
      <c r="B23" s="181" t="s">
        <v>90</v>
      </c>
      <c r="C23" s="181" t="s">
        <v>90</v>
      </c>
      <c r="D23" s="181" t="s">
        <v>90</v>
      </c>
      <c r="E23" s="181" t="s">
        <v>90</v>
      </c>
      <c r="F23" s="181" t="s">
        <v>90</v>
      </c>
      <c r="G23" s="181">
        <v>138</v>
      </c>
      <c r="H23" s="181">
        <v>114</v>
      </c>
      <c r="I23" s="181">
        <v>166</v>
      </c>
      <c r="J23" s="181">
        <v>112</v>
      </c>
      <c r="K23" s="181">
        <v>94</v>
      </c>
      <c r="L23" s="181">
        <v>104</v>
      </c>
      <c r="M23" s="215">
        <v>104</v>
      </c>
      <c r="N23" s="215">
        <v>101</v>
      </c>
      <c r="O23" s="215">
        <v>83</v>
      </c>
      <c r="P23" s="215">
        <v>83</v>
      </c>
      <c r="Q23" s="346">
        <v>98</v>
      </c>
      <c r="R23" s="346">
        <v>83</v>
      </c>
      <c r="S23" s="215">
        <v>93</v>
      </c>
      <c r="T23" s="215">
        <v>87</v>
      </c>
      <c r="U23" s="215">
        <v>87</v>
      </c>
      <c r="V23" s="215">
        <v>87</v>
      </c>
      <c r="W23" s="215">
        <v>82</v>
      </c>
      <c r="X23" s="960">
        <v>87</v>
      </c>
    </row>
    <row r="24" spans="1:24" s="3" customFormat="1" ht="18" customHeight="1">
      <c r="A24" s="205" t="s">
        <v>387</v>
      </c>
      <c r="B24" s="181" t="s">
        <v>90</v>
      </c>
      <c r="C24" s="181" t="s">
        <v>90</v>
      </c>
      <c r="D24" s="181" t="s">
        <v>90</v>
      </c>
      <c r="E24" s="181" t="s">
        <v>90</v>
      </c>
      <c r="F24" s="181" t="s">
        <v>90</v>
      </c>
      <c r="G24" s="181">
        <v>51</v>
      </c>
      <c r="H24" s="181">
        <v>116</v>
      </c>
      <c r="I24" s="181">
        <v>66</v>
      </c>
      <c r="J24" s="181">
        <v>60</v>
      </c>
      <c r="K24" s="181">
        <v>58</v>
      </c>
      <c r="L24" s="181">
        <v>51</v>
      </c>
      <c r="M24" s="215">
        <v>54</v>
      </c>
      <c r="N24" s="215">
        <v>54</v>
      </c>
      <c r="O24" s="215">
        <v>52</v>
      </c>
      <c r="P24" s="215">
        <v>52</v>
      </c>
      <c r="Q24" s="346">
        <v>48</v>
      </c>
      <c r="R24" s="346">
        <v>52</v>
      </c>
      <c r="S24" s="215">
        <v>43</v>
      </c>
      <c r="T24" s="215">
        <v>55</v>
      </c>
      <c r="U24" s="215">
        <v>55</v>
      </c>
      <c r="V24" s="215">
        <v>55</v>
      </c>
      <c r="W24" s="215">
        <v>54</v>
      </c>
      <c r="X24" s="960">
        <v>66</v>
      </c>
    </row>
    <row r="25" spans="1:25" s="38" customFormat="1" ht="18" customHeight="1">
      <c r="A25" s="221" t="s">
        <v>388</v>
      </c>
      <c r="B25" s="181" t="s">
        <v>90</v>
      </c>
      <c r="C25" s="181" t="s">
        <v>90</v>
      </c>
      <c r="D25" s="216" t="s">
        <v>90</v>
      </c>
      <c r="E25" s="217">
        <v>40845</v>
      </c>
      <c r="F25" s="217">
        <v>43326</v>
      </c>
      <c r="G25" s="217">
        <v>47155</v>
      </c>
      <c r="H25" s="217">
        <v>53940</v>
      </c>
      <c r="I25" s="217">
        <v>71940</v>
      </c>
      <c r="J25" s="213" t="s">
        <v>375</v>
      </c>
      <c r="K25" s="213" t="s">
        <v>375</v>
      </c>
      <c r="L25" s="167">
        <v>121481</v>
      </c>
      <c r="M25" s="170">
        <v>133561</v>
      </c>
      <c r="N25" s="218">
        <v>143962</v>
      </c>
      <c r="O25" s="170">
        <v>164790</v>
      </c>
      <c r="P25" s="170">
        <v>177987</v>
      </c>
      <c r="Q25" s="170">
        <v>241950</v>
      </c>
      <c r="R25" s="170">
        <v>299177</v>
      </c>
      <c r="S25" s="181">
        <v>311616</v>
      </c>
      <c r="T25" s="181">
        <v>399027</v>
      </c>
      <c r="U25" s="181">
        <v>434486</v>
      </c>
      <c r="V25" s="181">
        <v>454361</v>
      </c>
      <c r="W25" s="181">
        <v>493784</v>
      </c>
      <c r="X25" s="465">
        <v>541543</v>
      </c>
      <c r="Y25" s="3"/>
    </row>
    <row r="26" spans="1:25" s="38" customFormat="1" ht="18" customHeight="1">
      <c r="A26" s="380" t="s">
        <v>686</v>
      </c>
      <c r="B26" s="181" t="s">
        <v>90</v>
      </c>
      <c r="C26" s="181" t="s">
        <v>90</v>
      </c>
      <c r="D26" s="181" t="s">
        <v>90</v>
      </c>
      <c r="E26" s="181" t="s">
        <v>90</v>
      </c>
      <c r="F26" s="181" t="s">
        <v>90</v>
      </c>
      <c r="G26" s="181" t="s">
        <v>90</v>
      </c>
      <c r="H26" s="181" t="s">
        <v>90</v>
      </c>
      <c r="I26" s="181" t="s">
        <v>90</v>
      </c>
      <c r="J26" s="181" t="s">
        <v>90</v>
      </c>
      <c r="K26" s="217">
        <v>2197</v>
      </c>
      <c r="L26" s="167">
        <v>3645</v>
      </c>
      <c r="M26" s="170">
        <v>4926</v>
      </c>
      <c r="N26" s="219">
        <v>5028</v>
      </c>
      <c r="O26" s="170">
        <v>8202</v>
      </c>
      <c r="P26" s="170">
        <v>9581</v>
      </c>
      <c r="Q26" s="170">
        <v>14169</v>
      </c>
      <c r="R26" s="170">
        <v>14169</v>
      </c>
      <c r="S26" s="181">
        <v>14180</v>
      </c>
      <c r="T26" s="181">
        <v>13756</v>
      </c>
      <c r="U26" s="181">
        <v>13644</v>
      </c>
      <c r="V26" s="181">
        <v>13805</v>
      </c>
      <c r="W26" s="181">
        <v>13805</v>
      </c>
      <c r="X26" s="465">
        <v>13863</v>
      </c>
      <c r="Y26" s="3"/>
    </row>
    <row r="27" spans="1:25" s="38" customFormat="1" ht="18" customHeight="1">
      <c r="A27" s="380" t="s">
        <v>389</v>
      </c>
      <c r="B27" s="181" t="s">
        <v>90</v>
      </c>
      <c r="C27" s="181" t="s">
        <v>90</v>
      </c>
      <c r="D27" s="181" t="s">
        <v>90</v>
      </c>
      <c r="E27" s="181" t="s">
        <v>90</v>
      </c>
      <c r="F27" s="181" t="s">
        <v>90</v>
      </c>
      <c r="G27" s="213" t="s">
        <v>375</v>
      </c>
      <c r="H27" s="217">
        <v>13</v>
      </c>
      <c r="I27" s="217">
        <v>19</v>
      </c>
      <c r="J27" s="213" t="s">
        <v>375</v>
      </c>
      <c r="K27" s="217">
        <v>41</v>
      </c>
      <c r="L27" s="167">
        <v>55</v>
      </c>
      <c r="M27" s="170">
        <v>85</v>
      </c>
      <c r="N27" s="219">
        <v>110</v>
      </c>
      <c r="O27" s="170">
        <v>117</v>
      </c>
      <c r="P27" s="170">
        <v>146</v>
      </c>
      <c r="Q27" s="170">
        <v>163</v>
      </c>
      <c r="R27" s="170">
        <v>148</v>
      </c>
      <c r="S27" s="181">
        <v>148</v>
      </c>
      <c r="T27" s="181">
        <v>125</v>
      </c>
      <c r="U27" s="181">
        <v>126</v>
      </c>
      <c r="V27" s="181">
        <v>132</v>
      </c>
      <c r="W27" s="181">
        <v>153</v>
      </c>
      <c r="X27" s="465">
        <v>157</v>
      </c>
      <c r="Y27" s="3"/>
    </row>
    <row r="28" spans="1:25" s="38" customFormat="1" ht="18" customHeight="1">
      <c r="A28" s="221" t="s">
        <v>390</v>
      </c>
      <c r="B28" s="181" t="s">
        <v>90</v>
      </c>
      <c r="C28" s="181" t="s">
        <v>90</v>
      </c>
      <c r="D28" s="181" t="s">
        <v>90</v>
      </c>
      <c r="E28" s="181" t="s">
        <v>90</v>
      </c>
      <c r="F28" s="181" t="s">
        <v>90</v>
      </c>
      <c r="G28" s="181" t="s">
        <v>90</v>
      </c>
      <c r="H28" s="217">
        <v>19000</v>
      </c>
      <c r="I28" s="217">
        <v>23431</v>
      </c>
      <c r="J28" s="217">
        <v>32007</v>
      </c>
      <c r="K28" s="217">
        <v>42437</v>
      </c>
      <c r="L28" s="167">
        <v>74475</v>
      </c>
      <c r="M28" s="170">
        <v>89494</v>
      </c>
      <c r="N28" s="219">
        <v>109783</v>
      </c>
      <c r="O28" s="170">
        <v>108513</v>
      </c>
      <c r="P28" s="170">
        <v>100000</v>
      </c>
      <c r="Q28" s="170">
        <v>124556</v>
      </c>
      <c r="R28" s="170">
        <v>129538</v>
      </c>
      <c r="S28" s="181">
        <v>60400</v>
      </c>
      <c r="T28" s="181">
        <v>69409</v>
      </c>
      <c r="U28" s="181">
        <v>70939</v>
      </c>
      <c r="V28" s="181">
        <v>315361</v>
      </c>
      <c r="W28" s="181">
        <v>389383</v>
      </c>
      <c r="X28" s="465">
        <v>272568</v>
      </c>
      <c r="Y28" s="3"/>
    </row>
    <row r="29" spans="1:25" s="38" customFormat="1" ht="18" customHeight="1">
      <c r="A29" s="221" t="s">
        <v>391</v>
      </c>
      <c r="B29" s="181">
        <v>1073259</v>
      </c>
      <c r="C29" s="181">
        <v>2119509</v>
      </c>
      <c r="D29" s="181">
        <v>2905878</v>
      </c>
      <c r="E29" s="181">
        <v>3115634</v>
      </c>
      <c r="F29" s="181">
        <v>3204023</v>
      </c>
      <c r="G29" s="181">
        <v>5380145</v>
      </c>
      <c r="H29" s="181">
        <v>4532376</v>
      </c>
      <c r="I29" s="181">
        <v>3641796</v>
      </c>
      <c r="J29" s="181">
        <v>4000000</v>
      </c>
      <c r="K29" s="181">
        <v>3847619</v>
      </c>
      <c r="L29" s="220">
        <v>5200000</v>
      </c>
      <c r="M29" s="181">
        <v>5504334</v>
      </c>
      <c r="N29" s="181">
        <v>6877292</v>
      </c>
      <c r="O29" s="181">
        <v>8717293</v>
      </c>
      <c r="P29" s="181">
        <v>7996328</v>
      </c>
      <c r="Q29" s="170">
        <v>8763685</v>
      </c>
      <c r="R29" s="170">
        <v>8677973</v>
      </c>
      <c r="S29" s="181">
        <v>8732305</v>
      </c>
      <c r="T29" s="181">
        <v>9322371</v>
      </c>
      <c r="U29" s="181">
        <v>10728576</v>
      </c>
      <c r="V29" s="181">
        <v>17501697</v>
      </c>
      <c r="W29" s="181">
        <v>17489178</v>
      </c>
      <c r="X29" s="465">
        <v>12914364</v>
      </c>
      <c r="Y29" s="3"/>
    </row>
    <row r="30" spans="1:25" s="5" customFormat="1" ht="18" customHeight="1">
      <c r="A30" s="193" t="s">
        <v>392</v>
      </c>
      <c r="B30" s="181">
        <v>377312</v>
      </c>
      <c r="C30" s="181">
        <v>769305</v>
      </c>
      <c r="D30" s="181">
        <v>806302</v>
      </c>
      <c r="E30" s="181">
        <v>1056685</v>
      </c>
      <c r="F30" s="181">
        <v>1324097</v>
      </c>
      <c r="G30" s="181">
        <v>1527766</v>
      </c>
      <c r="H30" s="181">
        <v>1708119</v>
      </c>
      <c r="I30" s="181">
        <v>1995939</v>
      </c>
      <c r="J30" s="181">
        <v>2200000</v>
      </c>
      <c r="K30" s="181">
        <v>3480179</v>
      </c>
      <c r="L30" s="220">
        <v>4500000</v>
      </c>
      <c r="M30" s="172">
        <v>4177718</v>
      </c>
      <c r="N30" s="172">
        <v>4429590</v>
      </c>
      <c r="O30" s="172">
        <v>5779023</v>
      </c>
      <c r="P30" s="172">
        <v>7047755</v>
      </c>
      <c r="Q30" s="187">
        <v>8540000</v>
      </c>
      <c r="R30" s="187">
        <v>9385222</v>
      </c>
      <c r="S30" s="172">
        <v>9978943</v>
      </c>
      <c r="T30" s="172">
        <v>10597263</v>
      </c>
      <c r="U30" s="172">
        <v>11056625</v>
      </c>
      <c r="V30" s="172">
        <v>10186060</v>
      </c>
      <c r="W30" s="172">
        <v>11267567</v>
      </c>
      <c r="X30" s="932">
        <v>13273768</v>
      </c>
      <c r="Y30" s="3"/>
    </row>
    <row r="31" spans="1:25" s="5" customFormat="1" ht="18" customHeight="1">
      <c r="A31" s="150" t="s">
        <v>393</v>
      </c>
      <c r="B31" s="176"/>
      <c r="C31" s="176"/>
      <c r="D31" s="176"/>
      <c r="E31" s="176"/>
      <c r="F31" s="176"/>
      <c r="G31" s="176"/>
      <c r="H31" s="176"/>
      <c r="I31" s="176"/>
      <c r="J31" s="176"/>
      <c r="K31" s="150"/>
      <c r="L31" s="176"/>
      <c r="M31" s="176"/>
      <c r="N31" s="176"/>
      <c r="O31" s="176"/>
      <c r="P31" s="176"/>
      <c r="Q31" s="176"/>
      <c r="R31" s="176"/>
      <c r="S31" s="176"/>
      <c r="T31" s="176"/>
      <c r="U31" s="176"/>
      <c r="V31" s="176"/>
      <c r="W31" s="176"/>
      <c r="X31" s="957"/>
      <c r="Y31" s="3"/>
    </row>
    <row r="32" spans="1:25" s="5" customFormat="1" ht="18" customHeight="1">
      <c r="A32" s="221" t="s">
        <v>394</v>
      </c>
      <c r="B32" s="181">
        <v>744696</v>
      </c>
      <c r="C32" s="181">
        <v>800000</v>
      </c>
      <c r="D32" s="181">
        <v>839238</v>
      </c>
      <c r="E32" s="181">
        <v>878160</v>
      </c>
      <c r="F32" s="181">
        <v>866513</v>
      </c>
      <c r="G32" s="181">
        <v>911965</v>
      </c>
      <c r="H32" s="181">
        <v>948568</v>
      </c>
      <c r="I32" s="181">
        <v>948927</v>
      </c>
      <c r="J32" s="181">
        <v>1024597</v>
      </c>
      <c r="K32" s="181">
        <v>1059852</v>
      </c>
      <c r="L32" s="181">
        <v>1097721</v>
      </c>
      <c r="M32" s="172">
        <v>1341027</v>
      </c>
      <c r="N32" s="172">
        <v>1452029</v>
      </c>
      <c r="O32" s="172">
        <v>1495518</v>
      </c>
      <c r="P32" s="172">
        <v>1547930</v>
      </c>
      <c r="Q32" s="187">
        <v>1717855</v>
      </c>
      <c r="R32" s="187">
        <v>1722401</v>
      </c>
      <c r="S32" s="172">
        <v>1823305</v>
      </c>
      <c r="T32" s="172">
        <v>1765803</v>
      </c>
      <c r="U32" s="172">
        <v>1810533</v>
      </c>
      <c r="V32" s="172">
        <v>1831724</v>
      </c>
      <c r="W32" s="172">
        <v>1857433</v>
      </c>
      <c r="X32" s="932">
        <v>1913951</v>
      </c>
      <c r="Y32" s="3"/>
    </row>
    <row r="33" spans="1:24" s="5" customFormat="1" ht="18" customHeight="1">
      <c r="A33" s="221" t="s">
        <v>395</v>
      </c>
      <c r="B33" s="181">
        <v>4600265</v>
      </c>
      <c r="C33" s="181">
        <v>5000172</v>
      </c>
      <c r="D33" s="181">
        <v>5237503</v>
      </c>
      <c r="E33" s="181">
        <v>5426573</v>
      </c>
      <c r="F33" s="181">
        <v>5654170</v>
      </c>
      <c r="G33" s="181">
        <v>5838803</v>
      </c>
      <c r="H33" s="181">
        <v>5990622</v>
      </c>
      <c r="I33" s="181">
        <v>6132412</v>
      </c>
      <c r="J33" s="181">
        <v>6220341</v>
      </c>
      <c r="K33" s="181">
        <v>6348592</v>
      </c>
      <c r="L33" s="181">
        <v>6412023</v>
      </c>
      <c r="M33" s="172">
        <v>6468651</v>
      </c>
      <c r="N33" s="172">
        <v>6543710</v>
      </c>
      <c r="O33" s="172">
        <v>6650123</v>
      </c>
      <c r="P33" s="172">
        <v>6797798</v>
      </c>
      <c r="Q33" s="187">
        <v>6745335</v>
      </c>
      <c r="R33" s="187">
        <v>6874603</v>
      </c>
      <c r="S33" s="172">
        <v>6995877</v>
      </c>
      <c r="T33" s="172">
        <v>7110952</v>
      </c>
      <c r="U33" s="172">
        <v>7200732</v>
      </c>
      <c r="V33" s="172">
        <v>7185125</v>
      </c>
      <c r="W33" s="172">
        <v>7194764</v>
      </c>
      <c r="X33" s="932">
        <v>7287607</v>
      </c>
    </row>
    <row r="34" spans="1:24" s="5" customFormat="1" ht="18" customHeight="1">
      <c r="A34" s="380" t="s">
        <v>829</v>
      </c>
      <c r="B34" s="181">
        <v>276688</v>
      </c>
      <c r="C34" s="181">
        <v>297019</v>
      </c>
      <c r="D34" s="181">
        <v>310915</v>
      </c>
      <c r="E34" s="181">
        <v>323964</v>
      </c>
      <c r="F34" s="181">
        <v>336684</v>
      </c>
      <c r="G34" s="181">
        <v>349528</v>
      </c>
      <c r="H34" s="181">
        <v>351359</v>
      </c>
      <c r="I34" s="181">
        <v>371930</v>
      </c>
      <c r="J34" s="181">
        <v>387159</v>
      </c>
      <c r="K34" s="181">
        <v>403190</v>
      </c>
      <c r="L34" s="181">
        <v>415168</v>
      </c>
      <c r="M34" s="172">
        <v>425437</v>
      </c>
      <c r="N34" s="172">
        <v>437463</v>
      </c>
      <c r="O34" s="172">
        <v>457252</v>
      </c>
      <c r="P34" s="172">
        <v>473175</v>
      </c>
      <c r="Q34" s="187">
        <v>488266</v>
      </c>
      <c r="R34" s="187">
        <v>501837</v>
      </c>
      <c r="S34" s="172">
        <v>518915</v>
      </c>
      <c r="T34" s="172">
        <v>515353</v>
      </c>
      <c r="U34" s="172">
        <v>530559</v>
      </c>
      <c r="V34" s="172">
        <v>537457</v>
      </c>
      <c r="W34" s="172">
        <v>552944</v>
      </c>
      <c r="X34" s="932">
        <v>565182</v>
      </c>
    </row>
    <row r="35" spans="1:24" s="5" customFormat="1" ht="18" customHeight="1">
      <c r="A35" s="380" t="s">
        <v>555</v>
      </c>
      <c r="B35" s="181">
        <v>276688</v>
      </c>
      <c r="C35" s="181">
        <v>297019</v>
      </c>
      <c r="D35" s="181">
        <v>310915</v>
      </c>
      <c r="E35" s="181">
        <v>323964</v>
      </c>
      <c r="F35" s="181">
        <v>336684</v>
      </c>
      <c r="G35" s="181">
        <v>349828</v>
      </c>
      <c r="H35" s="181">
        <v>351359</v>
      </c>
      <c r="I35" s="181">
        <v>371930</v>
      </c>
      <c r="J35" s="181">
        <v>497483</v>
      </c>
      <c r="K35" s="181">
        <v>508638</v>
      </c>
      <c r="L35" s="181">
        <v>519164</v>
      </c>
      <c r="M35" s="172">
        <v>547909</v>
      </c>
      <c r="N35" s="172">
        <v>546103</v>
      </c>
      <c r="O35" s="172">
        <v>550317</v>
      </c>
      <c r="P35" s="172">
        <v>473175</v>
      </c>
      <c r="Q35" s="187">
        <v>559778</v>
      </c>
      <c r="R35" s="187">
        <v>299177</v>
      </c>
      <c r="S35" s="181">
        <v>439413</v>
      </c>
      <c r="T35" s="181">
        <v>545221</v>
      </c>
      <c r="U35" s="181">
        <v>546137</v>
      </c>
      <c r="V35" s="181">
        <v>546352</v>
      </c>
      <c r="W35" s="181">
        <v>546352</v>
      </c>
      <c r="X35" s="465">
        <v>541047</v>
      </c>
    </row>
    <row r="36" spans="1:24" s="5" customFormat="1" ht="18" customHeight="1">
      <c r="A36" s="221" t="s">
        <v>396</v>
      </c>
      <c r="B36" s="181">
        <v>51557</v>
      </c>
      <c r="C36" s="181">
        <v>52818</v>
      </c>
      <c r="D36" s="181">
        <v>53210</v>
      </c>
      <c r="E36" s="181">
        <v>53311</v>
      </c>
      <c r="F36" s="181">
        <v>52381</v>
      </c>
      <c r="G36" s="181">
        <v>51765</v>
      </c>
      <c r="H36" s="181">
        <v>51697</v>
      </c>
      <c r="I36" s="181">
        <v>51146</v>
      </c>
      <c r="J36" s="181">
        <v>52723</v>
      </c>
      <c r="K36" s="181">
        <v>55041</v>
      </c>
      <c r="L36" s="181">
        <v>61400</v>
      </c>
      <c r="M36" s="172">
        <v>68446</v>
      </c>
      <c r="N36" s="172">
        <v>77829</v>
      </c>
      <c r="O36" s="172">
        <v>79351</v>
      </c>
      <c r="P36" s="172">
        <v>81190</v>
      </c>
      <c r="Q36" s="187">
        <v>82347</v>
      </c>
      <c r="R36" s="187">
        <v>83507</v>
      </c>
      <c r="S36" s="172">
        <v>79566</v>
      </c>
      <c r="T36" s="172">
        <v>80210</v>
      </c>
      <c r="U36" s="172">
        <v>81080</v>
      </c>
      <c r="V36" s="172">
        <v>81202</v>
      </c>
      <c r="W36" s="172">
        <v>81812</v>
      </c>
      <c r="X36" s="932">
        <v>82750</v>
      </c>
    </row>
    <row r="37" spans="1:24" s="5" customFormat="1" ht="18" customHeight="1">
      <c r="A37" s="221" t="s">
        <v>397</v>
      </c>
      <c r="B37" s="181">
        <v>6701697</v>
      </c>
      <c r="C37" s="181">
        <v>7459546</v>
      </c>
      <c r="D37" s="181">
        <v>7757705</v>
      </c>
      <c r="E37" s="181">
        <v>7859164</v>
      </c>
      <c r="F37" s="181">
        <v>8086801</v>
      </c>
      <c r="G37" s="181">
        <v>8309573</v>
      </c>
      <c r="H37" s="181">
        <v>8462552</v>
      </c>
      <c r="I37" s="181">
        <v>8707743</v>
      </c>
      <c r="J37" s="181">
        <v>9007914</v>
      </c>
      <c r="K37" s="181">
        <v>9235442</v>
      </c>
      <c r="L37" s="181">
        <v>9676706</v>
      </c>
      <c r="M37" s="172">
        <v>10045757</v>
      </c>
      <c r="N37" s="172">
        <v>10450107</v>
      </c>
      <c r="O37" s="172">
        <v>10610777</v>
      </c>
      <c r="P37" s="172">
        <v>10794105</v>
      </c>
      <c r="Q37" s="187">
        <v>11058287</v>
      </c>
      <c r="R37" s="187">
        <v>11215292</v>
      </c>
      <c r="S37" s="172">
        <v>11379901</v>
      </c>
      <c r="T37" s="172">
        <v>11557874</v>
      </c>
      <c r="U37" s="172">
        <v>11835072</v>
      </c>
      <c r="V37" s="172">
        <v>11858409</v>
      </c>
      <c r="W37" s="172">
        <v>11872244</v>
      </c>
      <c r="X37" s="932">
        <v>10522504</v>
      </c>
    </row>
    <row r="38" spans="1:24" s="3" customFormat="1" ht="18" customHeight="1">
      <c r="A38" s="380" t="s">
        <v>398</v>
      </c>
      <c r="B38" s="181">
        <v>9951</v>
      </c>
      <c r="C38" s="181">
        <v>10421</v>
      </c>
      <c r="D38" s="181">
        <v>10813</v>
      </c>
      <c r="E38" s="181">
        <v>11476</v>
      </c>
      <c r="F38" s="181">
        <v>12162</v>
      </c>
      <c r="G38" s="181">
        <v>13050</v>
      </c>
      <c r="H38" s="181">
        <v>13389</v>
      </c>
      <c r="I38" s="181">
        <v>13548</v>
      </c>
      <c r="J38" s="181">
        <v>14063</v>
      </c>
      <c r="K38" s="181">
        <v>18164</v>
      </c>
      <c r="L38" s="181">
        <v>21691</v>
      </c>
      <c r="M38" s="181">
        <v>19204</v>
      </c>
      <c r="N38" s="181">
        <v>24672</v>
      </c>
      <c r="O38" s="181">
        <v>30975</v>
      </c>
      <c r="P38" s="181">
        <v>34353</v>
      </c>
      <c r="Q38" s="170">
        <v>38814</v>
      </c>
      <c r="R38" s="170">
        <v>39076</v>
      </c>
      <c r="S38" s="181">
        <v>40024</v>
      </c>
      <c r="T38" s="181">
        <v>39847</v>
      </c>
      <c r="U38" s="181">
        <v>39786</v>
      </c>
      <c r="V38" s="181">
        <v>40124</v>
      </c>
      <c r="W38" s="181">
        <v>40195</v>
      </c>
      <c r="X38" s="465">
        <v>40505</v>
      </c>
    </row>
    <row r="39" spans="1:24" s="3" customFormat="1" ht="18" customHeight="1">
      <c r="A39" s="235" t="s">
        <v>399</v>
      </c>
      <c r="B39" s="213" t="s">
        <v>375</v>
      </c>
      <c r="C39" s="217">
        <v>177492</v>
      </c>
      <c r="D39" s="217">
        <v>190385</v>
      </c>
      <c r="E39" s="217">
        <v>201067</v>
      </c>
      <c r="F39" s="217">
        <v>223208</v>
      </c>
      <c r="G39" s="170">
        <v>239179</v>
      </c>
      <c r="H39" s="170">
        <v>257591</v>
      </c>
      <c r="I39" s="170">
        <v>272140</v>
      </c>
      <c r="J39" s="170">
        <v>284686</v>
      </c>
      <c r="K39" s="170">
        <v>300439</v>
      </c>
      <c r="L39" s="168">
        <v>319145</v>
      </c>
      <c r="M39" s="170">
        <v>336167</v>
      </c>
      <c r="N39" s="214">
        <v>356672</v>
      </c>
      <c r="O39" s="170">
        <v>377612</v>
      </c>
      <c r="P39" s="170">
        <v>401322</v>
      </c>
      <c r="Q39" s="170">
        <v>422404</v>
      </c>
      <c r="R39" s="170">
        <v>435352</v>
      </c>
      <c r="S39" s="181">
        <v>452911</v>
      </c>
      <c r="T39" s="181">
        <v>468574</v>
      </c>
      <c r="U39" s="181">
        <v>482544</v>
      </c>
      <c r="V39" s="181">
        <v>495594</v>
      </c>
      <c r="W39" s="181">
        <v>513340</v>
      </c>
      <c r="X39" s="465">
        <v>523622</v>
      </c>
    </row>
    <row r="40" spans="1:24" s="3" customFormat="1" ht="18" customHeight="1">
      <c r="A40" s="235" t="s">
        <v>400</v>
      </c>
      <c r="B40" s="213" t="s">
        <v>375</v>
      </c>
      <c r="C40" s="217">
        <v>180472</v>
      </c>
      <c r="D40" s="217">
        <v>195432</v>
      </c>
      <c r="E40" s="217">
        <v>207576</v>
      </c>
      <c r="F40" s="217">
        <v>227156</v>
      </c>
      <c r="G40" s="170">
        <v>241641</v>
      </c>
      <c r="H40" s="170">
        <v>255722</v>
      </c>
      <c r="I40" s="170">
        <v>266842</v>
      </c>
      <c r="J40" s="170">
        <v>315702</v>
      </c>
      <c r="K40" s="170">
        <v>321752</v>
      </c>
      <c r="L40" s="170">
        <v>328101</v>
      </c>
      <c r="M40" s="170">
        <v>337181</v>
      </c>
      <c r="N40" s="214">
        <v>350190</v>
      </c>
      <c r="O40" s="170">
        <v>362384</v>
      </c>
      <c r="P40" s="170">
        <v>374715</v>
      </c>
      <c r="Q40" s="170">
        <v>382882</v>
      </c>
      <c r="R40" s="170">
        <v>389030</v>
      </c>
      <c r="S40" s="181">
        <v>404413</v>
      </c>
      <c r="T40" s="181">
        <v>414081</v>
      </c>
      <c r="U40" s="181">
        <v>423048</v>
      </c>
      <c r="V40" s="181">
        <v>429552</v>
      </c>
      <c r="W40" s="181">
        <v>438862</v>
      </c>
      <c r="X40" s="465">
        <v>445021</v>
      </c>
    </row>
    <row r="41" spans="1:24" s="38" customFormat="1" ht="18" customHeight="1">
      <c r="A41" s="150" t="s">
        <v>401</v>
      </c>
      <c r="B41" s="176"/>
      <c r="C41" s="176"/>
      <c r="D41" s="176"/>
      <c r="E41" s="176"/>
      <c r="F41" s="176"/>
      <c r="G41" s="176"/>
      <c r="H41" s="176"/>
      <c r="I41" s="176"/>
      <c r="J41" s="176"/>
      <c r="K41" s="150"/>
      <c r="L41" s="176"/>
      <c r="M41" s="176"/>
      <c r="N41" s="176"/>
      <c r="O41" s="176"/>
      <c r="P41" s="176"/>
      <c r="Q41" s="176"/>
      <c r="R41" s="176"/>
      <c r="S41" s="176"/>
      <c r="T41" s="176"/>
      <c r="U41" s="176"/>
      <c r="V41" s="176"/>
      <c r="W41" s="176"/>
      <c r="X41" s="957"/>
    </row>
    <row r="42" spans="1:24" s="5" customFormat="1" ht="18" customHeight="1">
      <c r="A42" s="380" t="s">
        <v>747</v>
      </c>
      <c r="B42" s="181">
        <v>16148319</v>
      </c>
      <c r="C42" s="181">
        <v>21344474</v>
      </c>
      <c r="D42" s="181">
        <v>23994986</v>
      </c>
      <c r="E42" s="181">
        <v>24740549</v>
      </c>
      <c r="F42" s="181">
        <v>24364594</v>
      </c>
      <c r="G42" s="181">
        <v>25098003</v>
      </c>
      <c r="H42" s="181">
        <v>23009213</v>
      </c>
      <c r="I42" s="181">
        <v>21871494</v>
      </c>
      <c r="J42" s="181">
        <v>19270283</v>
      </c>
      <c r="K42" s="181">
        <v>21271589</v>
      </c>
      <c r="L42" s="181">
        <v>21409349</v>
      </c>
      <c r="M42" s="172">
        <v>19194038</v>
      </c>
      <c r="N42" s="172">
        <v>19236397</v>
      </c>
      <c r="O42" s="172">
        <v>18344161</v>
      </c>
      <c r="P42" s="172">
        <v>18676224</v>
      </c>
      <c r="Q42" s="170">
        <v>18017135</v>
      </c>
      <c r="R42" s="170">
        <v>15466392</v>
      </c>
      <c r="S42" s="181">
        <v>14234464</v>
      </c>
      <c r="T42" s="181">
        <v>14460837</v>
      </c>
      <c r="U42" s="181">
        <v>13070226</v>
      </c>
      <c r="V42" s="181">
        <v>1792341</v>
      </c>
      <c r="W42" s="181">
        <v>28280</v>
      </c>
      <c r="X42" s="465">
        <v>2706524</v>
      </c>
    </row>
    <row r="43" spans="1:24" s="5" customFormat="1" ht="18" customHeight="1">
      <c r="A43" s="380" t="s">
        <v>748</v>
      </c>
      <c r="B43" s="181">
        <v>10639081</v>
      </c>
      <c r="C43" s="181">
        <v>13419436</v>
      </c>
      <c r="D43" s="181">
        <v>11946093</v>
      </c>
      <c r="E43" s="181">
        <v>10588426</v>
      </c>
      <c r="F43" s="181">
        <v>11202078</v>
      </c>
      <c r="G43" s="181">
        <v>7784114</v>
      </c>
      <c r="H43" s="181">
        <v>6772252</v>
      </c>
      <c r="I43" s="181">
        <v>5606887</v>
      </c>
      <c r="J43" s="181">
        <v>5037327</v>
      </c>
      <c r="K43" s="181">
        <v>5315645</v>
      </c>
      <c r="L43" s="181">
        <v>4375970</v>
      </c>
      <c r="M43" s="172">
        <v>3684956</v>
      </c>
      <c r="N43" s="172">
        <v>2891206</v>
      </c>
      <c r="O43" s="172">
        <v>3400866</v>
      </c>
      <c r="P43" s="172">
        <v>3281221</v>
      </c>
      <c r="Q43" s="187">
        <v>2788671</v>
      </c>
      <c r="R43" s="187">
        <v>2905937</v>
      </c>
      <c r="S43" s="172">
        <v>2327338</v>
      </c>
      <c r="T43" s="172">
        <v>2196773</v>
      </c>
      <c r="U43" s="172">
        <v>1909772</v>
      </c>
      <c r="V43" s="172">
        <v>342981</v>
      </c>
      <c r="W43" s="172">
        <v>27310</v>
      </c>
      <c r="X43" s="932">
        <v>417007</v>
      </c>
    </row>
    <row r="44" spans="1:24" s="5" customFormat="1" ht="18" customHeight="1">
      <c r="A44" s="380" t="s">
        <v>705</v>
      </c>
      <c r="B44" s="181" t="s">
        <v>90</v>
      </c>
      <c r="C44" s="181" t="s">
        <v>90</v>
      </c>
      <c r="D44" s="181" t="s">
        <v>90</v>
      </c>
      <c r="E44" s="181" t="s">
        <v>90</v>
      </c>
      <c r="F44" s="181" t="s">
        <v>90</v>
      </c>
      <c r="G44" s="181" t="s">
        <v>90</v>
      </c>
      <c r="H44" s="181" t="s">
        <v>90</v>
      </c>
      <c r="I44" s="181" t="s">
        <v>90</v>
      </c>
      <c r="J44" s="181" t="s">
        <v>90</v>
      </c>
      <c r="K44" s="181" t="s">
        <v>90</v>
      </c>
      <c r="L44" s="181" t="s">
        <v>90</v>
      </c>
      <c r="M44" s="181" t="s">
        <v>90</v>
      </c>
      <c r="N44" s="181" t="s">
        <v>90</v>
      </c>
      <c r="O44" s="181" t="s">
        <v>90</v>
      </c>
      <c r="P44" s="181" t="s">
        <v>90</v>
      </c>
      <c r="Q44" s="181" t="s">
        <v>90</v>
      </c>
      <c r="R44" s="181" t="s">
        <v>90</v>
      </c>
      <c r="S44" s="181" t="s">
        <v>90</v>
      </c>
      <c r="T44" s="181" t="s">
        <v>90</v>
      </c>
      <c r="U44" s="181" t="s">
        <v>90</v>
      </c>
      <c r="V44" s="172">
        <v>113683</v>
      </c>
      <c r="W44" s="172">
        <v>12662</v>
      </c>
      <c r="X44" s="172">
        <v>88795</v>
      </c>
    </row>
    <row r="45" spans="1:24" s="13" customFormat="1" ht="12.75" customHeight="1">
      <c r="A45" s="5"/>
      <c r="B45" s="5"/>
      <c r="C45" s="5"/>
      <c r="D45" s="5"/>
      <c r="E45" s="5"/>
      <c r="F45" s="5"/>
      <c r="G45" s="39"/>
      <c r="H45" s="29"/>
      <c r="I45" s="29"/>
      <c r="J45" s="29"/>
      <c r="K45" s="29"/>
      <c r="L45" s="29"/>
      <c r="M45" s="29"/>
      <c r="N45" s="29"/>
      <c r="O45" s="29"/>
      <c r="P45" s="29"/>
      <c r="Q45" s="29"/>
      <c r="R45" s="29"/>
      <c r="S45" s="29"/>
      <c r="T45" s="29"/>
      <c r="U45" s="29"/>
      <c r="V45" s="29"/>
      <c r="W45" s="29"/>
      <c r="X45" s="29"/>
    </row>
    <row r="46" spans="1:24" s="5" customFormat="1" ht="12.75" customHeight="1">
      <c r="A46" s="6" t="s">
        <v>831</v>
      </c>
      <c r="B46" s="13"/>
      <c r="C46" s="13"/>
      <c r="D46" s="13"/>
      <c r="E46" s="13"/>
      <c r="F46" s="13"/>
      <c r="G46" s="40"/>
      <c r="H46" s="36"/>
      <c r="I46" s="36"/>
      <c r="J46" s="36"/>
      <c r="K46" s="36"/>
      <c r="L46" s="36"/>
      <c r="M46" s="36"/>
      <c r="N46" s="36"/>
      <c r="O46" s="36"/>
      <c r="P46" s="36"/>
      <c r="Q46" s="36"/>
      <c r="R46" s="36"/>
      <c r="S46" s="36"/>
      <c r="T46" s="36"/>
      <c r="U46" s="36"/>
      <c r="V46" s="36"/>
      <c r="W46" s="36"/>
      <c r="X46" s="36"/>
    </row>
    <row r="47" spans="1:24" s="5" customFormat="1" ht="12.75" customHeight="1">
      <c r="A47" s="6" t="s">
        <v>580</v>
      </c>
      <c r="B47" s="13"/>
      <c r="C47" s="13"/>
      <c r="D47" s="13"/>
      <c r="E47" s="13"/>
      <c r="F47" s="13"/>
      <c r="G47" s="40"/>
      <c r="H47" s="36"/>
      <c r="I47" s="36"/>
      <c r="J47" s="36"/>
      <c r="K47" s="36"/>
      <c r="L47" s="36"/>
      <c r="M47" s="36"/>
      <c r="N47" s="36"/>
      <c r="O47" s="36"/>
      <c r="P47" s="36"/>
      <c r="Q47" s="36"/>
      <c r="R47" s="36"/>
      <c r="S47" s="36"/>
      <c r="T47" s="36"/>
      <c r="U47" s="36"/>
      <c r="V47" s="36"/>
      <c r="W47" s="36"/>
      <c r="X47" s="36"/>
    </row>
    <row r="48" spans="1:12" s="5" customFormat="1" ht="12.75" customHeight="1">
      <c r="A48" s="6" t="s">
        <v>402</v>
      </c>
      <c r="B48" s="13"/>
      <c r="C48" s="13"/>
      <c r="D48" s="13"/>
      <c r="E48" s="13"/>
      <c r="F48" s="13"/>
      <c r="G48" s="40"/>
      <c r="H48" s="36"/>
      <c r="I48" s="36"/>
      <c r="J48" s="36"/>
      <c r="K48" s="36"/>
      <c r="L48" s="36"/>
    </row>
    <row r="49" spans="1:24" s="5" customFormat="1" ht="12.75" customHeight="1">
      <c r="A49" s="13" t="s">
        <v>581</v>
      </c>
      <c r="B49" s="13"/>
      <c r="C49" s="13"/>
      <c r="D49" s="13"/>
      <c r="E49" s="13"/>
      <c r="F49" s="13"/>
      <c r="G49" s="40"/>
      <c r="H49" s="36"/>
      <c r="I49" s="36"/>
      <c r="J49" s="36"/>
      <c r="K49" s="36"/>
      <c r="L49" s="36"/>
      <c r="M49" s="36"/>
      <c r="N49" s="36"/>
      <c r="O49" s="36"/>
      <c r="P49" s="36"/>
      <c r="Q49" s="36"/>
      <c r="R49" s="36"/>
      <c r="S49" s="36"/>
      <c r="T49" s="36"/>
      <c r="U49" s="36"/>
      <c r="V49" s="36"/>
      <c r="W49" s="36"/>
      <c r="X49" s="36"/>
    </row>
    <row r="50" spans="1:24" s="5" customFormat="1" ht="12.75" customHeight="1">
      <c r="A50" s="13" t="s">
        <v>828</v>
      </c>
      <c r="B50" s="13"/>
      <c r="C50" s="13"/>
      <c r="D50" s="13"/>
      <c r="E50" s="13"/>
      <c r="F50" s="13"/>
      <c r="G50" s="40"/>
      <c r="H50" s="36"/>
      <c r="I50" s="36"/>
      <c r="J50" s="36"/>
      <c r="K50" s="36"/>
      <c r="L50" s="36"/>
      <c r="M50" s="36"/>
      <c r="N50" s="36"/>
      <c r="O50" s="36"/>
      <c r="P50" s="36"/>
      <c r="Q50" s="36"/>
      <c r="R50" s="36"/>
      <c r="S50" s="36"/>
      <c r="T50" s="36"/>
      <c r="U50" s="36"/>
      <c r="V50" s="36"/>
      <c r="W50" s="36"/>
      <c r="X50" s="36"/>
    </row>
    <row r="51" spans="1:12" s="13" customFormat="1" ht="12.75" customHeight="1">
      <c r="A51" s="13" t="s">
        <v>582</v>
      </c>
      <c r="G51" s="40"/>
      <c r="H51" s="36"/>
      <c r="I51" s="36"/>
      <c r="J51" s="36"/>
      <c r="K51" s="36"/>
      <c r="L51" s="36"/>
    </row>
    <row r="52" spans="1:12" s="13" customFormat="1" ht="12.75" customHeight="1">
      <c r="A52" s="13" t="s">
        <v>749</v>
      </c>
      <c r="G52" s="40"/>
      <c r="H52" s="36"/>
      <c r="I52" s="36"/>
      <c r="J52" s="36"/>
      <c r="K52" s="36"/>
      <c r="L52" s="36"/>
    </row>
    <row r="53" spans="1:12" s="13" customFormat="1" ht="12.75" customHeight="1">
      <c r="A53" s="13" t="s">
        <v>830</v>
      </c>
      <c r="G53" s="40"/>
      <c r="H53" s="36"/>
      <c r="I53" s="36"/>
      <c r="J53" s="36"/>
      <c r="K53" s="36"/>
      <c r="L53" s="36"/>
    </row>
    <row r="54" spans="1:24" s="13" customFormat="1" ht="12.75" customHeight="1">
      <c r="A54" s="5"/>
      <c r="B54" s="5"/>
      <c r="C54" s="5"/>
      <c r="D54" s="5"/>
      <c r="E54" s="5"/>
      <c r="F54" s="5"/>
      <c r="G54" s="39"/>
      <c r="H54" s="29"/>
      <c r="I54" s="29"/>
      <c r="J54" s="29"/>
      <c r="K54" s="29"/>
      <c r="L54" s="29"/>
      <c r="M54" s="29"/>
      <c r="N54" s="29"/>
      <c r="O54" s="29"/>
      <c r="P54" s="29"/>
      <c r="Q54" s="29"/>
      <c r="R54" s="29"/>
      <c r="S54" s="29"/>
      <c r="T54" s="29"/>
      <c r="U54" s="29"/>
      <c r="V54" s="29"/>
      <c r="W54" s="29"/>
      <c r="X54" s="29"/>
    </row>
    <row r="55" spans="1:24" s="5" customFormat="1" ht="12.75" customHeight="1">
      <c r="A55" s="13" t="s">
        <v>760</v>
      </c>
      <c r="B55" s="13"/>
      <c r="C55" s="13"/>
      <c r="D55" s="13"/>
      <c r="E55" s="13"/>
      <c r="F55" s="13"/>
      <c r="G55" s="40"/>
      <c r="H55" s="36"/>
      <c r="I55" s="36"/>
      <c r="J55" s="36"/>
      <c r="K55" s="36"/>
      <c r="L55" s="36"/>
      <c r="M55" s="36"/>
      <c r="N55" s="36"/>
      <c r="O55" s="36"/>
      <c r="P55" s="36"/>
      <c r="Q55" s="36"/>
      <c r="R55" s="36"/>
      <c r="S55" s="36"/>
      <c r="T55" s="36"/>
      <c r="U55" s="36"/>
      <c r="V55" s="36"/>
      <c r="W55" s="36"/>
      <c r="X55" s="36"/>
    </row>
  </sheetData>
  <sheetProtection/>
  <mergeCells count="3">
    <mergeCell ref="A1:X1"/>
    <mergeCell ref="A3:X3"/>
    <mergeCell ref="A4:X4"/>
  </mergeCells>
  <printOptions horizontalCentered="1"/>
  <pageMargins left="0.7874015748031497" right="0.7874015748031497" top="0.7874015748031497" bottom="0.7874015748031497" header="0" footer="0"/>
  <pageSetup fitToHeight="1" fitToWidth="1" horizontalDpi="600" verticalDpi="600" orientation="landscape" scale="44"/>
  <ignoredErrors>
    <ignoredError sqref="B21:E21" numberStoredAsText="1"/>
  </ignoredErrors>
</worksheet>
</file>

<file path=xl/worksheets/sheet4.xml><?xml version="1.0" encoding="utf-8"?>
<worksheet xmlns="http://schemas.openxmlformats.org/spreadsheetml/2006/main" xmlns:r="http://schemas.openxmlformats.org/officeDocument/2006/relationships">
  <sheetPr>
    <tabColor rgb="FF660066"/>
    <pageSetUpPr fitToPage="1"/>
  </sheetPr>
  <dimension ref="A1:AA60"/>
  <sheetViews>
    <sheetView zoomScalePageLayoutView="0" workbookViewId="0" topLeftCell="A1">
      <pane xSplit="1" ySplit="8" topLeftCell="N9" activePane="bottomRight" state="frozen"/>
      <selection pane="topLeft" activeCell="A1" sqref="A1:H1"/>
      <selection pane="topRight" activeCell="A1" sqref="A1:H1"/>
      <selection pane="bottomLeft" activeCell="A1" sqref="A1:H1"/>
      <selection pane="bottomRight" activeCell="Y11" sqref="Y11"/>
    </sheetView>
  </sheetViews>
  <sheetFormatPr defaultColWidth="11.421875" defaultRowHeight="12.75"/>
  <cols>
    <col min="1" max="1" width="23.7109375" style="65" customWidth="1"/>
    <col min="2" max="17" width="11.421875" style="65" customWidth="1"/>
    <col min="18" max="24" width="10.8515625" style="65" customWidth="1"/>
    <col min="25" max="25" width="10.8515625" style="753" customWidth="1"/>
    <col min="26" max="26" width="11.421875" style="419" customWidth="1"/>
    <col min="27" max="242" width="11.421875" style="65" customWidth="1"/>
    <col min="243" max="243" width="23.7109375" style="65" customWidth="1"/>
    <col min="244" max="16384" width="11.421875" style="65" customWidth="1"/>
  </cols>
  <sheetData>
    <row r="1" spans="1:25" ht="12.75">
      <c r="A1" s="1115" t="s">
        <v>66</v>
      </c>
      <c r="B1" s="1115"/>
      <c r="C1" s="1115"/>
      <c r="D1" s="1115"/>
      <c r="E1" s="1115"/>
      <c r="F1" s="1115"/>
      <c r="G1" s="1115"/>
      <c r="H1" s="1115"/>
      <c r="I1" s="1115"/>
      <c r="J1" s="1115"/>
      <c r="K1" s="1115"/>
      <c r="L1" s="1115"/>
      <c r="M1" s="1115"/>
      <c r="N1" s="1115"/>
      <c r="O1" s="1115"/>
      <c r="P1" s="1115"/>
      <c r="Q1" s="1115"/>
      <c r="R1" s="1115"/>
      <c r="S1" s="1115"/>
      <c r="T1" s="1115"/>
      <c r="U1" s="1115"/>
      <c r="V1" s="1115"/>
      <c r="W1" s="1115"/>
      <c r="X1" s="1115"/>
      <c r="Y1" s="1115"/>
    </row>
    <row r="3" spans="1:26" s="371" customFormat="1" ht="18" customHeight="1">
      <c r="A3" s="1116" t="s">
        <v>67</v>
      </c>
      <c r="B3" s="1116"/>
      <c r="C3" s="1116"/>
      <c r="D3" s="1116"/>
      <c r="E3" s="1116"/>
      <c r="F3" s="1116"/>
      <c r="G3" s="1116"/>
      <c r="H3" s="1116"/>
      <c r="I3" s="1116"/>
      <c r="J3" s="1116"/>
      <c r="K3" s="1116"/>
      <c r="L3" s="1116"/>
      <c r="M3" s="1116"/>
      <c r="N3" s="1116"/>
      <c r="O3" s="1116"/>
      <c r="P3" s="1116"/>
      <c r="Q3" s="1116"/>
      <c r="R3" s="1116"/>
      <c r="S3" s="1116"/>
      <c r="T3" s="1116"/>
      <c r="U3" s="1116"/>
      <c r="V3" s="1116"/>
      <c r="W3" s="1116"/>
      <c r="X3" s="1116"/>
      <c r="Y3" s="1116"/>
      <c r="Z3" s="737"/>
    </row>
    <row r="4" spans="1:26" s="481" customFormat="1" ht="18" customHeight="1">
      <c r="A4" s="1117" t="s">
        <v>778</v>
      </c>
      <c r="B4" s="1117"/>
      <c r="C4" s="1117"/>
      <c r="D4" s="1117"/>
      <c r="E4" s="1117"/>
      <c r="F4" s="1117"/>
      <c r="G4" s="1117"/>
      <c r="H4" s="1117"/>
      <c r="I4" s="1117"/>
      <c r="J4" s="1117"/>
      <c r="K4" s="1117"/>
      <c r="L4" s="1117"/>
      <c r="M4" s="1117"/>
      <c r="N4" s="1117"/>
      <c r="O4" s="1117"/>
      <c r="P4" s="1117"/>
      <c r="Q4" s="1117"/>
      <c r="R4" s="1117"/>
      <c r="S4" s="1117"/>
      <c r="T4" s="1117"/>
      <c r="U4" s="1117"/>
      <c r="V4" s="1117"/>
      <c r="W4" s="1117"/>
      <c r="X4" s="1117"/>
      <c r="Y4" s="1117"/>
      <c r="Z4" s="739"/>
    </row>
    <row r="5" spans="2:25" ht="18" customHeight="1">
      <c r="B5" s="393"/>
      <c r="C5" s="393"/>
      <c r="D5" s="393"/>
      <c r="E5" s="393"/>
      <c r="F5" s="393"/>
      <c r="G5" s="393"/>
      <c r="H5" s="393"/>
      <c r="I5" s="393"/>
      <c r="J5" s="393"/>
      <c r="K5" s="393"/>
      <c r="L5" s="393"/>
      <c r="M5" s="393"/>
      <c r="N5" s="393"/>
      <c r="O5" s="393"/>
      <c r="P5" s="393"/>
      <c r="Q5" s="393"/>
      <c r="R5" s="393"/>
      <c r="S5" s="393"/>
      <c r="T5" s="393"/>
      <c r="U5" s="393"/>
      <c r="V5" s="393"/>
      <c r="W5" s="393"/>
      <c r="X5" s="393"/>
      <c r="Y5" s="810"/>
    </row>
    <row r="6" spans="1:26" s="52" customFormat="1" ht="18" customHeight="1">
      <c r="A6" s="394"/>
      <c r="B6" s="395" t="s">
        <v>40</v>
      </c>
      <c r="C6" s="395" t="s">
        <v>41</v>
      </c>
      <c r="D6" s="395" t="s">
        <v>42</v>
      </c>
      <c r="E6" s="395" t="s">
        <v>43</v>
      </c>
      <c r="F6" s="395" t="s">
        <v>44</v>
      </c>
      <c r="G6" s="395" t="s">
        <v>45</v>
      </c>
      <c r="H6" s="395" t="s">
        <v>46</v>
      </c>
      <c r="I6" s="395" t="s">
        <v>47</v>
      </c>
      <c r="J6" s="395" t="s">
        <v>48</v>
      </c>
      <c r="K6" s="395" t="s">
        <v>49</v>
      </c>
      <c r="L6" s="395" t="s">
        <v>50</v>
      </c>
      <c r="M6" s="395" t="s">
        <v>51</v>
      </c>
      <c r="N6" s="395" t="s">
        <v>52</v>
      </c>
      <c r="O6" s="395" t="s">
        <v>53</v>
      </c>
      <c r="P6" s="395" t="s">
        <v>54</v>
      </c>
      <c r="Q6" s="395" t="s">
        <v>55</v>
      </c>
      <c r="R6" s="395" t="s">
        <v>513</v>
      </c>
      <c r="S6" s="395" t="s">
        <v>542</v>
      </c>
      <c r="T6" s="395" t="s">
        <v>562</v>
      </c>
      <c r="U6" s="395" t="s">
        <v>651</v>
      </c>
      <c r="V6" s="395" t="s">
        <v>663</v>
      </c>
      <c r="W6" s="395" t="s">
        <v>690</v>
      </c>
      <c r="X6" s="395" t="s">
        <v>733</v>
      </c>
      <c r="Y6" s="811" t="s">
        <v>784</v>
      </c>
      <c r="Z6" s="738"/>
    </row>
    <row r="7" spans="1:25" ht="18" customHeight="1">
      <c r="A7" s="396" t="s">
        <v>68</v>
      </c>
      <c r="B7" s="397">
        <f>B9+B11+B13+B15+B17</f>
        <v>255226</v>
      </c>
      <c r="C7" s="397">
        <f aca="true" t="shared" si="0" ref="C7:H7">C9+C11+C13+C15+C17</f>
        <v>245317</v>
      </c>
      <c r="D7" s="397">
        <f t="shared" si="0"/>
        <v>251149</v>
      </c>
      <c r="E7" s="397">
        <f t="shared" si="0"/>
        <v>259036</v>
      </c>
      <c r="F7" s="397">
        <f t="shared" si="0"/>
        <v>269143</v>
      </c>
      <c r="G7" s="397">
        <f t="shared" si="0"/>
        <v>279054</v>
      </c>
      <c r="H7" s="397">
        <f t="shared" si="0"/>
        <v>286484</v>
      </c>
      <c r="I7" s="397">
        <f>SUM(I9,I11,I13,I15,I17)</f>
        <v>292889</v>
      </c>
      <c r="J7" s="397">
        <f>SUM(J9,J11,J13,J15,J17)</f>
        <v>299688</v>
      </c>
      <c r="K7" s="397">
        <f aca="true" t="shared" si="1" ref="K7:S7">SUM(K19,K25)</f>
        <v>305969</v>
      </c>
      <c r="L7" s="397">
        <f t="shared" si="1"/>
        <v>314557</v>
      </c>
      <c r="M7" s="397">
        <f t="shared" si="1"/>
        <v>316589</v>
      </c>
      <c r="N7" s="397">
        <f t="shared" si="1"/>
        <v>324413</v>
      </c>
      <c r="O7" s="397">
        <f t="shared" si="1"/>
        <v>330382</v>
      </c>
      <c r="P7" s="397">
        <f t="shared" si="1"/>
        <v>337763</v>
      </c>
      <c r="Q7" s="397">
        <f t="shared" si="1"/>
        <v>342542</v>
      </c>
      <c r="R7" s="397">
        <f t="shared" si="1"/>
        <v>346730</v>
      </c>
      <c r="S7" s="397">
        <f t="shared" si="1"/>
        <v>349539</v>
      </c>
      <c r="T7" s="475">
        <f aca="true" t="shared" si="2" ref="T7:Y7">SUM(T9+T11+T13+T15+T17)</f>
        <v>349515</v>
      </c>
      <c r="U7" s="475">
        <f t="shared" si="2"/>
        <v>356530</v>
      </c>
      <c r="V7" s="475">
        <f t="shared" si="2"/>
        <v>360883</v>
      </c>
      <c r="W7" s="475">
        <f t="shared" si="2"/>
        <v>366930</v>
      </c>
      <c r="X7" s="475">
        <f t="shared" si="2"/>
        <v>369607</v>
      </c>
      <c r="Y7" s="812">
        <f t="shared" si="2"/>
        <v>373340</v>
      </c>
    </row>
    <row r="8" spans="1:26" s="52" customFormat="1" ht="18" customHeight="1">
      <c r="A8" s="398" t="s">
        <v>69</v>
      </c>
      <c r="B8" s="399">
        <f aca="true" t="shared" si="3" ref="B8:H8">((B9*B10)+(B11*B12)+(B13*B14)+(B15*B16)+(B17*B18))/B7</f>
        <v>0.498910769278992</v>
      </c>
      <c r="C8" s="399">
        <f t="shared" si="3"/>
        <v>0.503352804738359</v>
      </c>
      <c r="D8" s="399">
        <f t="shared" si="3"/>
        <v>0.5061457541140917</v>
      </c>
      <c r="E8" s="399">
        <f t="shared" si="3"/>
        <v>0.5094118192065967</v>
      </c>
      <c r="F8" s="399">
        <f t="shared" si="3"/>
        <v>0.514425416971647</v>
      </c>
      <c r="G8" s="399">
        <f t="shared" si="3"/>
        <v>0.5146853297211292</v>
      </c>
      <c r="H8" s="399">
        <f t="shared" si="3"/>
        <v>0.5124230323508469</v>
      </c>
      <c r="I8" s="399">
        <v>0.513</v>
      </c>
      <c r="J8" s="399">
        <v>0.513</v>
      </c>
      <c r="K8" s="399">
        <v>0.514</v>
      </c>
      <c r="L8" s="399">
        <v>0.514</v>
      </c>
      <c r="M8" s="399">
        <v>0.514</v>
      </c>
      <c r="N8" s="399">
        <v>0.511</v>
      </c>
      <c r="O8" s="399">
        <v>0.511</v>
      </c>
      <c r="P8" s="399">
        <v>0.511</v>
      </c>
      <c r="Q8" s="399">
        <v>0.511</v>
      </c>
      <c r="R8" s="399">
        <v>0.5085</v>
      </c>
      <c r="S8" s="399">
        <v>0.5090161612867233</v>
      </c>
      <c r="T8" s="476">
        <v>0.5111</v>
      </c>
      <c r="U8" s="476">
        <v>0.5111</v>
      </c>
      <c r="V8" s="476">
        <v>0.515</v>
      </c>
      <c r="W8" s="476">
        <v>0.5148</v>
      </c>
      <c r="X8" s="476">
        <v>0.5148</v>
      </c>
      <c r="Y8" s="813">
        <v>0.5148</v>
      </c>
      <c r="Z8" s="738"/>
    </row>
    <row r="9" spans="1:27" ht="18" customHeight="1">
      <c r="A9" s="400" t="s">
        <v>70</v>
      </c>
      <c r="B9" s="401">
        <f>B20+B26</f>
        <v>541</v>
      </c>
      <c r="C9" s="401">
        <f aca="true" t="shared" si="4" ref="C9:J9">C20+C26</f>
        <v>607</v>
      </c>
      <c r="D9" s="401">
        <f t="shared" si="4"/>
        <v>641</v>
      </c>
      <c r="E9" s="401">
        <f t="shared" si="4"/>
        <v>651</v>
      </c>
      <c r="F9" s="401">
        <f t="shared" si="4"/>
        <v>588</v>
      </c>
      <c r="G9" s="401">
        <f t="shared" si="4"/>
        <v>585</v>
      </c>
      <c r="H9" s="401">
        <f t="shared" si="4"/>
        <v>745</v>
      </c>
      <c r="I9" s="401">
        <f t="shared" si="4"/>
        <v>729</v>
      </c>
      <c r="J9" s="401">
        <f t="shared" si="4"/>
        <v>739</v>
      </c>
      <c r="K9" s="401">
        <v>738</v>
      </c>
      <c r="L9" s="401">
        <v>746</v>
      </c>
      <c r="M9" s="401">
        <v>767</v>
      </c>
      <c r="N9" s="401">
        <f aca="true" t="shared" si="5" ref="N9:Y9">+N20+N26</f>
        <v>833</v>
      </c>
      <c r="O9" s="401">
        <f t="shared" si="5"/>
        <v>812</v>
      </c>
      <c r="P9" s="401">
        <f t="shared" si="5"/>
        <v>804</v>
      </c>
      <c r="Q9" s="401">
        <f t="shared" si="5"/>
        <v>742</v>
      </c>
      <c r="R9" s="401">
        <f t="shared" si="5"/>
        <v>923</v>
      </c>
      <c r="S9" s="443">
        <f t="shared" si="5"/>
        <v>904</v>
      </c>
      <c r="T9" s="477">
        <f t="shared" si="5"/>
        <v>898</v>
      </c>
      <c r="U9" s="477">
        <f t="shared" si="5"/>
        <v>846</v>
      </c>
      <c r="V9" s="477">
        <f>+V20+V26</f>
        <v>872</v>
      </c>
      <c r="W9" s="477">
        <f>+W20+W26</f>
        <v>733</v>
      </c>
      <c r="X9" s="477">
        <f>+X20+X26</f>
        <v>688</v>
      </c>
      <c r="Y9" s="814">
        <f t="shared" si="5"/>
        <v>663</v>
      </c>
      <c r="AA9" s="495"/>
    </row>
    <row r="10" spans="1:27" ht="18" customHeight="1">
      <c r="A10" s="402" t="s">
        <v>69</v>
      </c>
      <c r="B10" s="403">
        <v>0.38632162661737524</v>
      </c>
      <c r="C10" s="403">
        <v>0.3245469522240527</v>
      </c>
      <c r="D10" s="403">
        <v>0.33541341653666146</v>
      </c>
      <c r="E10" s="403">
        <v>0.3102918586789555</v>
      </c>
      <c r="F10" s="403">
        <v>0.336734693877551</v>
      </c>
      <c r="G10" s="403">
        <v>0.30427350427350425</v>
      </c>
      <c r="H10" s="403">
        <v>0.32348993288590605</v>
      </c>
      <c r="I10" s="403">
        <v>0.33</v>
      </c>
      <c r="J10" s="403">
        <v>0.33</v>
      </c>
      <c r="K10" s="403">
        <v>0.336</v>
      </c>
      <c r="L10" s="403">
        <v>0.298</v>
      </c>
      <c r="M10" s="403">
        <v>0.287</v>
      </c>
      <c r="N10" s="403">
        <v>0.325</v>
      </c>
      <c r="O10" s="403">
        <v>0.323</v>
      </c>
      <c r="P10" s="403">
        <v>0.323</v>
      </c>
      <c r="Q10" s="444">
        <v>0.322</v>
      </c>
      <c r="R10" s="444">
        <v>0.33</v>
      </c>
      <c r="S10" s="444">
        <v>0.3396017699115044</v>
      </c>
      <c r="T10" s="478">
        <v>0.343</v>
      </c>
      <c r="U10" s="478">
        <v>0.3498</v>
      </c>
      <c r="V10" s="478">
        <v>0.336</v>
      </c>
      <c r="W10" s="478">
        <v>0.3342</v>
      </c>
      <c r="X10" s="478">
        <v>0.33</v>
      </c>
      <c r="Y10" s="815">
        <v>0.3453997</v>
      </c>
      <c r="AA10" s="498"/>
    </row>
    <row r="11" spans="1:27" ht="18" customHeight="1">
      <c r="A11" s="400" t="s">
        <v>71</v>
      </c>
      <c r="B11" s="401">
        <f aca="true" t="shared" si="6" ref="B11:J11">B21+B27</f>
        <v>100926</v>
      </c>
      <c r="C11" s="401">
        <f t="shared" si="6"/>
        <v>95372</v>
      </c>
      <c r="D11" s="401">
        <f t="shared" si="6"/>
        <v>96798</v>
      </c>
      <c r="E11" s="401">
        <f t="shared" si="6"/>
        <v>100111</v>
      </c>
      <c r="F11" s="401">
        <f t="shared" si="6"/>
        <v>104554</v>
      </c>
      <c r="G11" s="401">
        <f t="shared" si="6"/>
        <v>105972</v>
      </c>
      <c r="H11" s="401">
        <f t="shared" si="6"/>
        <v>106913</v>
      </c>
      <c r="I11" s="401">
        <f t="shared" si="6"/>
        <v>106298</v>
      </c>
      <c r="J11" s="401">
        <f t="shared" si="6"/>
        <v>107447</v>
      </c>
      <c r="K11" s="401">
        <v>107848</v>
      </c>
      <c r="L11" s="401">
        <v>108699</v>
      </c>
      <c r="M11" s="401">
        <v>109530</v>
      </c>
      <c r="N11" s="401">
        <f aca="true" t="shared" si="7" ref="N11:Y11">+N21+N27</f>
        <v>110119</v>
      </c>
      <c r="O11" s="401">
        <f t="shared" si="7"/>
        <v>111982</v>
      </c>
      <c r="P11" s="401">
        <f t="shared" si="7"/>
        <v>113179</v>
      </c>
      <c r="Q11" s="401">
        <f t="shared" si="7"/>
        <v>112576</v>
      </c>
      <c r="R11" s="401">
        <f t="shared" si="7"/>
        <v>112229</v>
      </c>
      <c r="S11" s="443">
        <f t="shared" si="7"/>
        <v>112624</v>
      </c>
      <c r="T11" s="477">
        <f t="shared" si="7"/>
        <v>114116</v>
      </c>
      <c r="U11" s="477">
        <f t="shared" si="7"/>
        <v>112588</v>
      </c>
      <c r="V11" s="477">
        <f>+V21+V27</f>
        <v>111569</v>
      </c>
      <c r="W11" s="477">
        <f>+W21+W27</f>
        <v>108802</v>
      </c>
      <c r="X11" s="477">
        <f>+X21+X27</f>
        <v>106574</v>
      </c>
      <c r="Y11" s="814">
        <f t="shared" si="7"/>
        <v>106863</v>
      </c>
      <c r="AA11" s="499"/>
    </row>
    <row r="12" spans="1:27" ht="18" customHeight="1">
      <c r="A12" s="404" t="s">
        <v>69</v>
      </c>
      <c r="B12" s="403">
        <v>0.4949467926996017</v>
      </c>
      <c r="C12" s="403">
        <v>0.5020341399991611</v>
      </c>
      <c r="D12" s="403">
        <v>0.5073761854583773</v>
      </c>
      <c r="E12" s="403">
        <v>0.5141293164587308</v>
      </c>
      <c r="F12" s="403">
        <v>0.5174264016680375</v>
      </c>
      <c r="G12" s="403">
        <v>0.5105216472275695</v>
      </c>
      <c r="H12" s="403">
        <v>0.5066923573372742</v>
      </c>
      <c r="I12" s="403">
        <v>0.503</v>
      </c>
      <c r="J12" s="403">
        <v>0.502</v>
      </c>
      <c r="K12" s="403">
        <v>0.5097637415621986</v>
      </c>
      <c r="L12" s="403">
        <v>0.508</v>
      </c>
      <c r="M12" s="403">
        <v>0.506</v>
      </c>
      <c r="N12" s="403">
        <v>0.503</v>
      </c>
      <c r="O12" s="403">
        <v>0.503</v>
      </c>
      <c r="P12" s="403">
        <v>0.497</v>
      </c>
      <c r="Q12" s="445">
        <v>0.495</v>
      </c>
      <c r="R12" s="445">
        <v>0.493</v>
      </c>
      <c r="S12" s="445">
        <v>0.4970876544963773</v>
      </c>
      <c r="T12" s="479">
        <v>0.5</v>
      </c>
      <c r="U12" s="479">
        <v>0.503</v>
      </c>
      <c r="V12" s="479">
        <v>0.503</v>
      </c>
      <c r="W12" s="479">
        <v>0.5017</v>
      </c>
      <c r="X12" s="479">
        <v>0.5</v>
      </c>
      <c r="Y12" s="816">
        <v>0.5032</v>
      </c>
      <c r="AA12" s="497"/>
    </row>
    <row r="13" spans="1:27" ht="18" customHeight="1">
      <c r="A13" s="460" t="s">
        <v>659</v>
      </c>
      <c r="B13" s="401">
        <f aca="true" t="shared" si="8" ref="B13:J13">B22+B28</f>
        <v>2317</v>
      </c>
      <c r="C13" s="401">
        <f t="shared" si="8"/>
        <v>2013</v>
      </c>
      <c r="D13" s="401">
        <f t="shared" si="8"/>
        <v>1867</v>
      </c>
      <c r="E13" s="401">
        <f t="shared" si="8"/>
        <v>1721</v>
      </c>
      <c r="F13" s="401">
        <f t="shared" si="8"/>
        <v>1609</v>
      </c>
      <c r="G13" s="401">
        <f t="shared" si="8"/>
        <v>2479</v>
      </c>
      <c r="H13" s="401">
        <f t="shared" si="8"/>
        <v>1645</v>
      </c>
      <c r="I13" s="401">
        <f t="shared" si="8"/>
        <v>1264</v>
      </c>
      <c r="J13" s="401">
        <f t="shared" si="8"/>
        <v>1084</v>
      </c>
      <c r="K13" s="401">
        <v>1064</v>
      </c>
      <c r="L13" s="401">
        <v>1024</v>
      </c>
      <c r="M13" s="401">
        <v>362</v>
      </c>
      <c r="N13" s="401">
        <f>+N22+N28</f>
        <v>97</v>
      </c>
      <c r="O13" s="401">
        <f>+O22+O28</f>
        <v>3</v>
      </c>
      <c r="P13" s="401">
        <f>+P22+P28</f>
        <v>5</v>
      </c>
      <c r="Q13" s="401">
        <v>0</v>
      </c>
      <c r="R13" s="401">
        <v>0</v>
      </c>
      <c r="S13" s="443">
        <v>0</v>
      </c>
      <c r="T13" s="477">
        <f>+T22+T28</f>
        <v>0</v>
      </c>
      <c r="U13" s="477">
        <f>+U22+U28</f>
        <v>3</v>
      </c>
      <c r="V13" s="477">
        <f>+V22+V28</f>
        <v>0</v>
      </c>
      <c r="W13" s="477">
        <f>+W22+W28</f>
        <v>28</v>
      </c>
      <c r="X13" s="477">
        <f>+X22+X28</f>
        <v>1</v>
      </c>
      <c r="Y13" s="814">
        <f>+Y22+Y28</f>
        <v>4</v>
      </c>
      <c r="AA13" s="499"/>
    </row>
    <row r="14" spans="1:27" ht="18" customHeight="1">
      <c r="A14" s="402" t="s">
        <v>69</v>
      </c>
      <c r="B14" s="449">
        <v>0.8610271903323263</v>
      </c>
      <c r="C14" s="449">
        <v>0.8584202682563339</v>
      </c>
      <c r="D14" s="449">
        <v>0.8543117300482057</v>
      </c>
      <c r="E14" s="449">
        <v>0.8588030214991285</v>
      </c>
      <c r="F14" s="449">
        <v>0.8446239900559354</v>
      </c>
      <c r="G14" s="449">
        <v>0.8882613957240822</v>
      </c>
      <c r="H14" s="449">
        <v>0.9009118541033435</v>
      </c>
      <c r="I14" s="449">
        <v>0.927</v>
      </c>
      <c r="J14" s="449">
        <v>0.932</v>
      </c>
      <c r="K14" s="449">
        <v>0.944</v>
      </c>
      <c r="L14" s="449">
        <v>0.925</v>
      </c>
      <c r="M14" s="449">
        <v>0.892</v>
      </c>
      <c r="N14" s="449">
        <v>0.835</v>
      </c>
      <c r="O14" s="449">
        <v>1</v>
      </c>
      <c r="P14" s="449">
        <v>1</v>
      </c>
      <c r="Q14" s="449">
        <v>0</v>
      </c>
      <c r="R14" s="449">
        <v>0</v>
      </c>
      <c r="S14" s="449">
        <v>0</v>
      </c>
      <c r="T14" s="479">
        <v>0</v>
      </c>
      <c r="U14" s="479">
        <v>0.6667</v>
      </c>
      <c r="V14" s="479">
        <v>0</v>
      </c>
      <c r="W14" s="479">
        <v>0.7143</v>
      </c>
      <c r="X14" s="479">
        <v>0</v>
      </c>
      <c r="Y14" s="816">
        <v>0.25</v>
      </c>
      <c r="AA14" s="498"/>
    </row>
    <row r="15" spans="1:26" ht="18" customHeight="1">
      <c r="A15" s="400" t="s">
        <v>73</v>
      </c>
      <c r="B15" s="401">
        <f aca="true" t="shared" si="9" ref="B15:J15">B23+B29</f>
        <v>134172</v>
      </c>
      <c r="C15" s="401">
        <f t="shared" si="9"/>
        <v>130778</v>
      </c>
      <c r="D15" s="401">
        <f t="shared" si="9"/>
        <v>133933</v>
      </c>
      <c r="E15" s="401">
        <f t="shared" si="9"/>
        <v>138023</v>
      </c>
      <c r="F15" s="401">
        <f t="shared" si="9"/>
        <v>143405</v>
      </c>
      <c r="G15" s="401">
        <f t="shared" si="9"/>
        <v>150253</v>
      </c>
      <c r="H15" s="401">
        <f t="shared" si="9"/>
        <v>156434</v>
      </c>
      <c r="I15" s="401">
        <f t="shared" si="9"/>
        <v>163368</v>
      </c>
      <c r="J15" s="401">
        <f t="shared" si="9"/>
        <v>167891</v>
      </c>
      <c r="K15" s="401">
        <v>172444</v>
      </c>
      <c r="L15" s="401">
        <v>179052</v>
      </c>
      <c r="M15" s="401">
        <v>180763</v>
      </c>
      <c r="N15" s="401">
        <f aca="true" t="shared" si="10" ref="N15:U15">+N23+N29</f>
        <v>187195</v>
      </c>
      <c r="O15" s="401">
        <f t="shared" si="10"/>
        <v>190707</v>
      </c>
      <c r="P15" s="401">
        <f t="shared" si="10"/>
        <v>196565</v>
      </c>
      <c r="Q15" s="401">
        <f t="shared" si="10"/>
        <v>201206</v>
      </c>
      <c r="R15" s="401">
        <f t="shared" si="10"/>
        <v>204940</v>
      </c>
      <c r="S15" s="443">
        <f t="shared" si="10"/>
        <v>205648</v>
      </c>
      <c r="T15" s="477">
        <f t="shared" si="10"/>
        <v>204191</v>
      </c>
      <c r="U15" s="477">
        <f t="shared" si="10"/>
        <v>213004</v>
      </c>
      <c r="V15" s="477">
        <f>+V23+V29</f>
        <v>217808</v>
      </c>
      <c r="W15" s="477">
        <f>+W23+W29</f>
        <v>226575</v>
      </c>
      <c r="X15" s="477">
        <f>+X23+X29</f>
        <v>229268</v>
      </c>
      <c r="Y15" s="814">
        <f>+Y23+Y29</f>
        <v>233260</v>
      </c>
      <c r="Z15" s="416"/>
    </row>
    <row r="16" spans="1:25" ht="18" customHeight="1">
      <c r="A16" s="402" t="s">
        <v>69</v>
      </c>
      <c r="B16" s="403">
        <v>0.5060817458187997</v>
      </c>
      <c r="C16" s="403">
        <v>0.5087017694107572</v>
      </c>
      <c r="D16" s="403">
        <v>0.510703112750405</v>
      </c>
      <c r="E16" s="403">
        <v>0.5119581519022192</v>
      </c>
      <c r="F16" s="403">
        <v>0.5179665980963006</v>
      </c>
      <c r="G16" s="403">
        <v>0.5200961045702914</v>
      </c>
      <c r="H16" s="403">
        <v>0.5203983788690438</v>
      </c>
      <c r="I16" s="403">
        <v>0.523</v>
      </c>
      <c r="J16" s="403">
        <v>0.523</v>
      </c>
      <c r="K16" s="403">
        <v>0.52</v>
      </c>
      <c r="L16" s="403">
        <v>0.516</v>
      </c>
      <c r="M16" s="403">
        <v>0.515</v>
      </c>
      <c r="N16" s="403">
        <v>0.516</v>
      </c>
      <c r="O16" s="403">
        <v>0.516</v>
      </c>
      <c r="P16" s="403">
        <v>0.516</v>
      </c>
      <c r="Q16" s="445">
        <v>0.518</v>
      </c>
      <c r="R16" s="445">
        <v>0.519</v>
      </c>
      <c r="S16" s="445">
        <v>0.5184879016572006</v>
      </c>
      <c r="T16" s="479">
        <v>0.52</v>
      </c>
      <c r="U16" s="479">
        <v>0.52119</v>
      </c>
      <c r="V16" s="479">
        <v>0.523</v>
      </c>
      <c r="W16" s="479">
        <v>0.5244</v>
      </c>
      <c r="X16" s="479">
        <v>0.52</v>
      </c>
      <c r="Y16" s="816">
        <v>0.5257</v>
      </c>
    </row>
    <row r="17" spans="1:25" ht="18" customHeight="1">
      <c r="A17" s="400" t="s">
        <v>74</v>
      </c>
      <c r="B17" s="401">
        <f>B24+B30</f>
        <v>17270</v>
      </c>
      <c r="C17" s="401">
        <f aca="true" t="shared" si="11" ref="C17:J17">C24+C30</f>
        <v>16547</v>
      </c>
      <c r="D17" s="401">
        <f t="shared" si="11"/>
        <v>17910</v>
      </c>
      <c r="E17" s="401">
        <f t="shared" si="11"/>
        <v>18530</v>
      </c>
      <c r="F17" s="401">
        <f t="shared" si="11"/>
        <v>18987</v>
      </c>
      <c r="G17" s="401">
        <f t="shared" si="11"/>
        <v>19765</v>
      </c>
      <c r="H17" s="401">
        <f t="shared" si="11"/>
        <v>20747</v>
      </c>
      <c r="I17" s="401">
        <f t="shared" si="11"/>
        <v>21230</v>
      </c>
      <c r="J17" s="401">
        <f t="shared" si="11"/>
        <v>22527</v>
      </c>
      <c r="K17" s="401">
        <v>23875</v>
      </c>
      <c r="L17" s="401">
        <v>25036</v>
      </c>
      <c r="M17" s="401">
        <v>25167</v>
      </c>
      <c r="N17" s="401">
        <f aca="true" t="shared" si="12" ref="N17:Y17">+N24+N30</f>
        <v>26169</v>
      </c>
      <c r="O17" s="401">
        <f t="shared" si="12"/>
        <v>26878</v>
      </c>
      <c r="P17" s="401">
        <f t="shared" si="12"/>
        <v>27210</v>
      </c>
      <c r="Q17" s="401">
        <f t="shared" si="12"/>
        <v>28018</v>
      </c>
      <c r="R17" s="401">
        <f t="shared" si="12"/>
        <v>28638</v>
      </c>
      <c r="S17" s="401">
        <f t="shared" si="12"/>
        <v>30363</v>
      </c>
      <c r="T17" s="477">
        <f t="shared" si="12"/>
        <v>30310</v>
      </c>
      <c r="U17" s="477">
        <f t="shared" si="12"/>
        <v>30089</v>
      </c>
      <c r="V17" s="477">
        <f>+V24+V30</f>
        <v>30634</v>
      </c>
      <c r="W17" s="477">
        <f>+W24+W30</f>
        <v>30792</v>
      </c>
      <c r="X17" s="477">
        <f>+X24+X30</f>
        <v>33076</v>
      </c>
      <c r="Y17" s="814">
        <f t="shared" si="12"/>
        <v>32550</v>
      </c>
    </row>
    <row r="18" spans="1:25" ht="18" customHeight="1">
      <c r="A18" s="402" t="s">
        <v>69</v>
      </c>
      <c r="B18" s="449">
        <v>0.42130862767805444</v>
      </c>
      <c r="C18" s="449">
        <v>0.4320420620051973</v>
      </c>
      <c r="D18" s="449">
        <v>0.4352317141261865</v>
      </c>
      <c r="E18" s="449">
        <v>0.4395035078251484</v>
      </c>
      <c r="F18" s="449">
        <v>0.44867540949070417</v>
      </c>
      <c r="G18" s="449">
        <v>0.4552491778396155</v>
      </c>
      <c r="H18" s="449">
        <v>0.4578011278739095</v>
      </c>
      <c r="I18" s="449">
        <v>0.464</v>
      </c>
      <c r="J18" s="449">
        <v>0.472</v>
      </c>
      <c r="K18" s="449">
        <v>0.4877068062827225</v>
      </c>
      <c r="L18" s="449">
        <v>0.501</v>
      </c>
      <c r="M18" s="449">
        <v>0.504</v>
      </c>
      <c r="N18" s="449">
        <v>0.509</v>
      </c>
      <c r="O18" s="449">
        <v>0.514</v>
      </c>
      <c r="P18" s="449">
        <v>0.509</v>
      </c>
      <c r="Q18" s="449">
        <v>0.5021</v>
      </c>
      <c r="R18" s="449">
        <v>0.501</v>
      </c>
      <c r="S18" s="449">
        <v>0.4941540690972565</v>
      </c>
      <c r="T18" s="479">
        <v>0.496</v>
      </c>
      <c r="U18" s="479">
        <v>0.497789</v>
      </c>
      <c r="V18" s="479">
        <v>0.502</v>
      </c>
      <c r="W18" s="479">
        <v>0.4952</v>
      </c>
      <c r="X18" s="479">
        <v>0.5</v>
      </c>
      <c r="Y18" s="816">
        <v>0.521</v>
      </c>
    </row>
    <row r="19" spans="1:25" ht="18" customHeight="1">
      <c r="A19" s="396" t="s">
        <v>75</v>
      </c>
      <c r="B19" s="397">
        <f aca="true" t="shared" si="13" ref="B19:H19">SUM(B20:B24)</f>
        <v>68458</v>
      </c>
      <c r="C19" s="397">
        <f t="shared" si="13"/>
        <v>68343</v>
      </c>
      <c r="D19" s="397">
        <f t="shared" si="13"/>
        <v>72281</v>
      </c>
      <c r="E19" s="397">
        <f t="shared" si="13"/>
        <v>72884</v>
      </c>
      <c r="F19" s="397">
        <f t="shared" si="13"/>
        <v>72159</v>
      </c>
      <c r="G19" s="397">
        <f t="shared" si="13"/>
        <v>76679</v>
      </c>
      <c r="H19" s="397">
        <f t="shared" si="13"/>
        <v>77965</v>
      </c>
      <c r="I19" s="397">
        <f aca="true" t="shared" si="14" ref="I19:Y19">SUM(I20:I24)</f>
        <v>79240</v>
      </c>
      <c r="J19" s="397">
        <f t="shared" si="14"/>
        <v>82401</v>
      </c>
      <c r="K19" s="397">
        <f t="shared" si="14"/>
        <v>82350</v>
      </c>
      <c r="L19" s="397">
        <f t="shared" si="14"/>
        <v>86011</v>
      </c>
      <c r="M19" s="397">
        <f t="shared" si="14"/>
        <v>85035</v>
      </c>
      <c r="N19" s="397">
        <f t="shared" si="14"/>
        <v>90212</v>
      </c>
      <c r="O19" s="397">
        <f t="shared" si="14"/>
        <v>90076</v>
      </c>
      <c r="P19" s="397">
        <f t="shared" si="14"/>
        <v>91873</v>
      </c>
      <c r="Q19" s="397">
        <f t="shared" si="14"/>
        <v>92220</v>
      </c>
      <c r="R19" s="397">
        <f t="shared" si="14"/>
        <v>93676</v>
      </c>
      <c r="S19" s="397">
        <f t="shared" si="14"/>
        <v>93260</v>
      </c>
      <c r="T19" s="397">
        <f t="shared" si="14"/>
        <v>95617</v>
      </c>
      <c r="U19" s="397">
        <f t="shared" si="14"/>
        <v>94341</v>
      </c>
      <c r="V19" s="397">
        <f>SUM(V20:V24)</f>
        <v>98128</v>
      </c>
      <c r="W19" s="397">
        <f>SUM(W20:W24)</f>
        <v>102124</v>
      </c>
      <c r="X19" s="397">
        <f>SUM(X20:X24)</f>
        <v>100400</v>
      </c>
      <c r="Y19" s="817">
        <f t="shared" si="14"/>
        <v>96951</v>
      </c>
    </row>
    <row r="20" spans="1:25" ht="18" customHeight="1">
      <c r="A20" s="400" t="s">
        <v>70</v>
      </c>
      <c r="B20" s="401">
        <v>141</v>
      </c>
      <c r="C20" s="401">
        <v>249</v>
      </c>
      <c r="D20" s="401">
        <v>256</v>
      </c>
      <c r="E20" s="401">
        <v>231</v>
      </c>
      <c r="F20" s="401">
        <v>252</v>
      </c>
      <c r="G20" s="401">
        <v>212</v>
      </c>
      <c r="H20" s="401">
        <v>275</v>
      </c>
      <c r="I20" s="401">
        <v>257</v>
      </c>
      <c r="J20" s="401">
        <v>271</v>
      </c>
      <c r="K20" s="401">
        <v>273</v>
      </c>
      <c r="L20" s="401">
        <v>286</v>
      </c>
      <c r="M20" s="401">
        <v>279</v>
      </c>
      <c r="N20" s="401">
        <v>291</v>
      </c>
      <c r="O20" s="401">
        <v>244</v>
      </c>
      <c r="P20" s="401">
        <v>248</v>
      </c>
      <c r="Q20" s="406">
        <v>238</v>
      </c>
      <c r="R20" s="406">
        <v>232</v>
      </c>
      <c r="S20" s="443">
        <v>222</v>
      </c>
      <c r="T20" s="477">
        <v>231</v>
      </c>
      <c r="U20" s="477">
        <v>238</v>
      </c>
      <c r="V20" s="477">
        <v>230</v>
      </c>
      <c r="W20" s="477">
        <v>233</v>
      </c>
      <c r="X20" s="401">
        <v>224</v>
      </c>
      <c r="Y20" s="823">
        <v>201</v>
      </c>
    </row>
    <row r="21" spans="1:25" ht="18" customHeight="1">
      <c r="A21" s="400" t="s">
        <v>71</v>
      </c>
      <c r="B21" s="401">
        <v>32530</v>
      </c>
      <c r="C21" s="401">
        <v>31229</v>
      </c>
      <c r="D21" s="401">
        <v>32447</v>
      </c>
      <c r="E21" s="401">
        <f>32829+572</f>
        <v>33401</v>
      </c>
      <c r="F21" s="401">
        <v>33880</v>
      </c>
      <c r="G21" s="401">
        <v>34247</v>
      </c>
      <c r="H21" s="401">
        <v>34279</v>
      </c>
      <c r="I21" s="401">
        <v>33688</v>
      </c>
      <c r="J21" s="401">
        <v>34090</v>
      </c>
      <c r="K21" s="401">
        <v>34840</v>
      </c>
      <c r="L21" s="401">
        <v>34861</v>
      </c>
      <c r="M21" s="401">
        <v>34378</v>
      </c>
      <c r="N21" s="401">
        <v>35189</v>
      </c>
      <c r="O21" s="401">
        <v>36044</v>
      </c>
      <c r="P21" s="401">
        <v>36036</v>
      </c>
      <c r="Q21" s="401">
        <v>35196</v>
      </c>
      <c r="R21" s="401">
        <v>35913</v>
      </c>
      <c r="S21" s="443">
        <v>36152</v>
      </c>
      <c r="T21" s="477">
        <v>36953</v>
      </c>
      <c r="U21" s="477">
        <v>34464</v>
      </c>
      <c r="V21" s="477">
        <v>35041</v>
      </c>
      <c r="W21" s="477">
        <v>35159</v>
      </c>
      <c r="X21" s="477">
        <v>34593</v>
      </c>
      <c r="Y21" s="814">
        <v>33992</v>
      </c>
    </row>
    <row r="22" spans="1:25" ht="18" customHeight="1">
      <c r="A22" s="400" t="s">
        <v>72</v>
      </c>
      <c r="B22" s="401">
        <v>592</v>
      </c>
      <c r="C22" s="401">
        <v>815</v>
      </c>
      <c r="D22" s="401">
        <v>769</v>
      </c>
      <c r="E22" s="401">
        <v>494</v>
      </c>
      <c r="F22" s="401">
        <v>512</v>
      </c>
      <c r="G22" s="401">
        <v>1551</v>
      </c>
      <c r="H22" s="401">
        <v>33</v>
      </c>
      <c r="I22" s="401">
        <v>108</v>
      </c>
      <c r="J22" s="401">
        <v>858</v>
      </c>
      <c r="K22" s="401">
        <v>308</v>
      </c>
      <c r="L22" s="401">
        <v>140</v>
      </c>
      <c r="M22" s="401">
        <v>0</v>
      </c>
      <c r="N22" s="401">
        <v>0</v>
      </c>
      <c r="O22" s="401">
        <v>0</v>
      </c>
      <c r="P22" s="401">
        <v>0</v>
      </c>
      <c r="Q22" s="401">
        <v>0</v>
      </c>
      <c r="R22" s="401">
        <v>0</v>
      </c>
      <c r="S22" s="401">
        <v>0</v>
      </c>
      <c r="T22" s="477">
        <v>0</v>
      </c>
      <c r="U22" s="477">
        <v>0</v>
      </c>
      <c r="V22" s="477">
        <v>0</v>
      </c>
      <c r="W22" s="477">
        <v>0</v>
      </c>
      <c r="X22" s="477">
        <v>0</v>
      </c>
      <c r="Y22" s="814">
        <v>0</v>
      </c>
    </row>
    <row r="23" spans="1:25" ht="18" customHeight="1">
      <c r="A23" s="400" t="s">
        <v>73</v>
      </c>
      <c r="B23" s="401">
        <v>29262</v>
      </c>
      <c r="C23" s="401">
        <v>30070</v>
      </c>
      <c r="D23" s="401">
        <v>32033</v>
      </c>
      <c r="E23" s="401">
        <v>31784</v>
      </c>
      <c r="F23" s="401">
        <v>30579</v>
      </c>
      <c r="G23" s="401">
        <v>33106</v>
      </c>
      <c r="H23" s="401">
        <v>35505</v>
      </c>
      <c r="I23" s="401">
        <v>36929</v>
      </c>
      <c r="J23" s="401">
        <v>37787</v>
      </c>
      <c r="K23" s="401">
        <v>37683</v>
      </c>
      <c r="L23" s="401">
        <v>40527</v>
      </c>
      <c r="M23" s="401">
        <f>40504+233</f>
        <v>40737</v>
      </c>
      <c r="N23" s="401">
        <v>43700</v>
      </c>
      <c r="O23" s="401">
        <v>43067</v>
      </c>
      <c r="P23" s="401">
        <v>44851</v>
      </c>
      <c r="Q23" s="401">
        <v>45300</v>
      </c>
      <c r="R23" s="401">
        <v>46200</v>
      </c>
      <c r="S23" s="401">
        <v>44408</v>
      </c>
      <c r="T23" s="477">
        <v>46749</v>
      </c>
      <c r="U23" s="477">
        <v>48237</v>
      </c>
      <c r="V23" s="477">
        <v>50795</v>
      </c>
      <c r="W23" s="477">
        <v>54364</v>
      </c>
      <c r="X23" s="477">
        <v>52538</v>
      </c>
      <c r="Y23" s="814">
        <v>50245</v>
      </c>
    </row>
    <row r="24" spans="1:25" ht="18" customHeight="1">
      <c r="A24" s="400" t="s">
        <v>74</v>
      </c>
      <c r="B24" s="401">
        <v>5933</v>
      </c>
      <c r="C24" s="401">
        <v>5980</v>
      </c>
      <c r="D24" s="401">
        <v>6776</v>
      </c>
      <c r="E24" s="401">
        <v>6974</v>
      </c>
      <c r="F24" s="401">
        <v>6936</v>
      </c>
      <c r="G24" s="401">
        <v>7563</v>
      </c>
      <c r="H24" s="401">
        <v>7873</v>
      </c>
      <c r="I24" s="401">
        <v>8258</v>
      </c>
      <c r="J24" s="401">
        <v>9395</v>
      </c>
      <c r="K24" s="401">
        <v>9246</v>
      </c>
      <c r="L24" s="401">
        <v>10197</v>
      </c>
      <c r="M24" s="401">
        <v>9641</v>
      </c>
      <c r="N24" s="401">
        <v>11032</v>
      </c>
      <c r="O24" s="401">
        <v>10721</v>
      </c>
      <c r="P24" s="401">
        <v>10738</v>
      </c>
      <c r="Q24" s="401">
        <v>11486</v>
      </c>
      <c r="R24" s="401">
        <v>11331</v>
      </c>
      <c r="S24" s="401">
        <v>12478</v>
      </c>
      <c r="T24" s="477">
        <v>11684</v>
      </c>
      <c r="U24" s="477">
        <f>6454+3828+1120</f>
        <v>11402</v>
      </c>
      <c r="V24" s="477">
        <v>12062</v>
      </c>
      <c r="W24" s="477">
        <v>12368</v>
      </c>
      <c r="X24" s="477">
        <v>13045</v>
      </c>
      <c r="Y24" s="814">
        <v>12513</v>
      </c>
    </row>
    <row r="25" spans="1:25" ht="18" customHeight="1">
      <c r="A25" s="396" t="s">
        <v>76</v>
      </c>
      <c r="B25" s="397">
        <f aca="true" t="shared" si="15" ref="B25:Y25">SUM(B26:B30)</f>
        <v>186768</v>
      </c>
      <c r="C25" s="397">
        <f t="shared" si="15"/>
        <v>176974</v>
      </c>
      <c r="D25" s="397">
        <f t="shared" si="15"/>
        <v>178868</v>
      </c>
      <c r="E25" s="397">
        <f t="shared" si="15"/>
        <v>186152</v>
      </c>
      <c r="F25" s="397">
        <f t="shared" si="15"/>
        <v>196984</v>
      </c>
      <c r="G25" s="397">
        <f t="shared" si="15"/>
        <v>202375</v>
      </c>
      <c r="H25" s="397">
        <f t="shared" si="15"/>
        <v>208519</v>
      </c>
      <c r="I25" s="397">
        <f t="shared" si="15"/>
        <v>213649</v>
      </c>
      <c r="J25" s="397">
        <f t="shared" si="15"/>
        <v>217287</v>
      </c>
      <c r="K25" s="397">
        <f t="shared" si="15"/>
        <v>223619</v>
      </c>
      <c r="L25" s="397">
        <f t="shared" si="15"/>
        <v>228546</v>
      </c>
      <c r="M25" s="397">
        <f t="shared" si="15"/>
        <v>231554</v>
      </c>
      <c r="N25" s="397">
        <f t="shared" si="15"/>
        <v>234201</v>
      </c>
      <c r="O25" s="397">
        <f t="shared" si="15"/>
        <v>240306</v>
      </c>
      <c r="P25" s="397">
        <f t="shared" si="15"/>
        <v>245890</v>
      </c>
      <c r="Q25" s="397">
        <f t="shared" si="15"/>
        <v>250322</v>
      </c>
      <c r="R25" s="397">
        <f t="shared" si="15"/>
        <v>253054</v>
      </c>
      <c r="S25" s="397">
        <f t="shared" si="15"/>
        <v>256279</v>
      </c>
      <c r="T25" s="397">
        <f t="shared" si="15"/>
        <v>253898</v>
      </c>
      <c r="U25" s="397">
        <f t="shared" si="15"/>
        <v>262189</v>
      </c>
      <c r="V25" s="397">
        <f>SUM(V26:V30)</f>
        <v>262755</v>
      </c>
      <c r="W25" s="397">
        <f>SUM(W26:W30)</f>
        <v>264806</v>
      </c>
      <c r="X25" s="397">
        <f>SUM(X26:X30)</f>
        <v>269207</v>
      </c>
      <c r="Y25" s="817">
        <f t="shared" si="15"/>
        <v>276389</v>
      </c>
    </row>
    <row r="26" spans="1:25" ht="18" customHeight="1">
      <c r="A26" s="400" t="s">
        <v>70</v>
      </c>
      <c r="B26" s="401">
        <v>400</v>
      </c>
      <c r="C26" s="401">
        <v>358</v>
      </c>
      <c r="D26" s="401">
        <v>385</v>
      </c>
      <c r="E26" s="401">
        <v>420</v>
      </c>
      <c r="F26" s="401">
        <v>336</v>
      </c>
      <c r="G26" s="401">
        <v>373</v>
      </c>
      <c r="H26" s="401">
        <v>470</v>
      </c>
      <c r="I26" s="401">
        <v>472</v>
      </c>
      <c r="J26" s="401">
        <v>468</v>
      </c>
      <c r="K26" s="401">
        <v>465</v>
      </c>
      <c r="L26" s="401">
        <v>460</v>
      </c>
      <c r="M26" s="401">
        <v>488</v>
      </c>
      <c r="N26" s="401">
        <v>542</v>
      </c>
      <c r="O26" s="401">
        <v>568</v>
      </c>
      <c r="P26" s="401">
        <v>556</v>
      </c>
      <c r="Q26" s="401">
        <v>504</v>
      </c>
      <c r="R26" s="401">
        <v>691</v>
      </c>
      <c r="S26" s="401">
        <v>682</v>
      </c>
      <c r="T26" s="477">
        <v>667</v>
      </c>
      <c r="U26" s="477">
        <v>608</v>
      </c>
      <c r="V26" s="477">
        <v>642</v>
      </c>
      <c r="W26" s="477">
        <v>500</v>
      </c>
      <c r="X26" s="401">
        <v>464</v>
      </c>
      <c r="Y26" s="823">
        <v>462</v>
      </c>
    </row>
    <row r="27" spans="1:25" ht="18" customHeight="1">
      <c r="A27" s="400" t="s">
        <v>71</v>
      </c>
      <c r="B27" s="401">
        <v>68396</v>
      </c>
      <c r="C27" s="401">
        <v>64143</v>
      </c>
      <c r="D27" s="401">
        <v>64351</v>
      </c>
      <c r="E27" s="401">
        <v>66710</v>
      </c>
      <c r="F27" s="401">
        <v>70674</v>
      </c>
      <c r="G27" s="401">
        <v>71725</v>
      </c>
      <c r="H27" s="401">
        <v>72634</v>
      </c>
      <c r="I27" s="401">
        <v>72610</v>
      </c>
      <c r="J27" s="401">
        <v>73357</v>
      </c>
      <c r="K27" s="401">
        <v>73008</v>
      </c>
      <c r="L27" s="401">
        <v>73838</v>
      </c>
      <c r="M27" s="401">
        <v>75152</v>
      </c>
      <c r="N27" s="401">
        <v>74930</v>
      </c>
      <c r="O27" s="401">
        <v>75938</v>
      </c>
      <c r="P27" s="401">
        <v>77143</v>
      </c>
      <c r="Q27" s="401">
        <v>77380</v>
      </c>
      <c r="R27" s="401">
        <v>76316</v>
      </c>
      <c r="S27" s="401">
        <v>76472</v>
      </c>
      <c r="T27" s="477">
        <v>77163</v>
      </c>
      <c r="U27" s="477">
        <v>78124</v>
      </c>
      <c r="V27" s="477">
        <v>76528</v>
      </c>
      <c r="W27" s="477">
        <v>73643</v>
      </c>
      <c r="X27" s="477">
        <v>71981</v>
      </c>
      <c r="Y27" s="814">
        <v>72871</v>
      </c>
    </row>
    <row r="28" spans="1:25" ht="18" customHeight="1">
      <c r="A28" s="400" t="s">
        <v>72</v>
      </c>
      <c r="B28" s="401">
        <v>1725</v>
      </c>
      <c r="C28" s="401">
        <v>1198</v>
      </c>
      <c r="D28" s="401">
        <v>1098</v>
      </c>
      <c r="E28" s="401">
        <v>1227</v>
      </c>
      <c r="F28" s="401">
        <v>1097</v>
      </c>
      <c r="G28" s="401">
        <v>928</v>
      </c>
      <c r="H28" s="401">
        <v>1612</v>
      </c>
      <c r="I28" s="401">
        <v>1156</v>
      </c>
      <c r="J28" s="401">
        <v>226</v>
      </c>
      <c r="K28" s="401">
        <v>756</v>
      </c>
      <c r="L28" s="401">
        <v>884</v>
      </c>
      <c r="M28" s="401">
        <v>362</v>
      </c>
      <c r="N28" s="401">
        <v>97</v>
      </c>
      <c r="O28" s="401">
        <v>3</v>
      </c>
      <c r="P28" s="401">
        <v>5</v>
      </c>
      <c r="Q28" s="401">
        <v>0</v>
      </c>
      <c r="R28" s="401">
        <v>0</v>
      </c>
      <c r="S28" s="401">
        <v>0</v>
      </c>
      <c r="T28" s="477">
        <v>0</v>
      </c>
      <c r="U28" s="477">
        <v>3</v>
      </c>
      <c r="V28" s="477">
        <v>0</v>
      </c>
      <c r="W28" s="477">
        <v>28</v>
      </c>
      <c r="X28" s="477">
        <v>1</v>
      </c>
      <c r="Y28" s="814">
        <v>4</v>
      </c>
    </row>
    <row r="29" spans="1:25" ht="18" customHeight="1">
      <c r="A29" s="400" t="s">
        <v>73</v>
      </c>
      <c r="B29" s="401">
        <v>104910</v>
      </c>
      <c r="C29" s="401">
        <v>100708</v>
      </c>
      <c r="D29" s="401">
        <v>101900</v>
      </c>
      <c r="E29" s="401">
        <v>106239</v>
      </c>
      <c r="F29" s="401">
        <v>112826</v>
      </c>
      <c r="G29" s="401">
        <v>117147</v>
      </c>
      <c r="H29" s="401">
        <v>120929</v>
      </c>
      <c r="I29" s="401">
        <v>126439</v>
      </c>
      <c r="J29" s="401">
        <v>130104</v>
      </c>
      <c r="K29" s="401">
        <v>134761</v>
      </c>
      <c r="L29" s="401">
        <v>138525</v>
      </c>
      <c r="M29" s="401">
        <v>140026</v>
      </c>
      <c r="N29" s="401">
        <v>143495</v>
      </c>
      <c r="O29" s="401">
        <v>147640</v>
      </c>
      <c r="P29" s="401">
        <v>151714</v>
      </c>
      <c r="Q29" s="401">
        <v>155906</v>
      </c>
      <c r="R29" s="401">
        <v>158740</v>
      </c>
      <c r="S29" s="443">
        <v>161240</v>
      </c>
      <c r="T29" s="477">
        <v>157442</v>
      </c>
      <c r="U29" s="477">
        <v>164767</v>
      </c>
      <c r="V29" s="477">
        <v>167013</v>
      </c>
      <c r="W29" s="477">
        <v>172211</v>
      </c>
      <c r="X29" s="477">
        <v>176730</v>
      </c>
      <c r="Y29" s="814">
        <v>183015</v>
      </c>
    </row>
    <row r="30" spans="1:25" ht="18" customHeight="1">
      <c r="A30" s="400" t="s">
        <v>74</v>
      </c>
      <c r="B30" s="401">
        <v>11337</v>
      </c>
      <c r="C30" s="401">
        <v>10567</v>
      </c>
      <c r="D30" s="401">
        <v>11134</v>
      </c>
      <c r="E30" s="401">
        <v>11556</v>
      </c>
      <c r="F30" s="401">
        <v>12051</v>
      </c>
      <c r="G30" s="401">
        <v>12202</v>
      </c>
      <c r="H30" s="401">
        <v>12874</v>
      </c>
      <c r="I30" s="401">
        <v>12972</v>
      </c>
      <c r="J30" s="401">
        <v>13132</v>
      </c>
      <c r="K30" s="401">
        <v>14629</v>
      </c>
      <c r="L30" s="401">
        <v>14839</v>
      </c>
      <c r="M30" s="401">
        <v>15526</v>
      </c>
      <c r="N30" s="401">
        <v>15137</v>
      </c>
      <c r="O30" s="401">
        <v>16157</v>
      </c>
      <c r="P30" s="401">
        <v>16472</v>
      </c>
      <c r="Q30" s="401">
        <v>16532</v>
      </c>
      <c r="R30" s="401">
        <v>17307</v>
      </c>
      <c r="S30" s="443">
        <v>17885</v>
      </c>
      <c r="T30" s="477">
        <v>18626</v>
      </c>
      <c r="U30" s="477">
        <f>8642+5852+4193</f>
        <v>18687</v>
      </c>
      <c r="V30" s="477">
        <v>18572</v>
      </c>
      <c r="W30" s="477">
        <v>18424</v>
      </c>
      <c r="X30" s="477">
        <v>20031</v>
      </c>
      <c r="Y30" s="814">
        <v>20037</v>
      </c>
    </row>
    <row r="31" spans="1:25" ht="12.75">
      <c r="A31" s="731"/>
      <c r="B31" s="415"/>
      <c r="C31" s="415"/>
      <c r="D31" s="415"/>
      <c r="E31" s="415"/>
      <c r="F31" s="415"/>
      <c r="G31" s="415"/>
      <c r="H31" s="415"/>
      <c r="I31" s="415"/>
      <c r="J31" s="415"/>
      <c r="K31" s="415"/>
      <c r="L31" s="415"/>
      <c r="M31" s="415"/>
      <c r="N31" s="415"/>
      <c r="O31" s="415"/>
      <c r="P31" s="415"/>
      <c r="Q31" s="415"/>
      <c r="R31" s="415"/>
      <c r="S31" s="415"/>
      <c r="T31" s="415"/>
      <c r="U31" s="415"/>
      <c r="V31" s="415"/>
      <c r="W31" s="407"/>
      <c r="X31" s="407"/>
      <c r="Y31" s="818"/>
    </row>
    <row r="32" spans="1:25" ht="12" customHeight="1">
      <c r="A32" s="55" t="s">
        <v>77</v>
      </c>
      <c r="B32" s="408"/>
      <c r="C32" s="408"/>
      <c r="D32" s="408"/>
      <c r="E32" s="408"/>
      <c r="F32" s="408"/>
      <c r="G32" s="408"/>
      <c r="H32" s="408"/>
      <c r="I32" s="408"/>
      <c r="J32" s="408"/>
      <c r="K32" s="408"/>
      <c r="L32" s="408"/>
      <c r="M32" s="408"/>
      <c r="N32" s="408"/>
      <c r="O32" s="408"/>
      <c r="P32" s="408"/>
      <c r="Q32" s="408"/>
      <c r="R32" s="408"/>
      <c r="S32" s="408"/>
      <c r="T32" s="408"/>
      <c r="U32" s="408"/>
      <c r="V32" s="408"/>
      <c r="W32" s="408"/>
      <c r="X32" s="408"/>
      <c r="Y32" s="472"/>
    </row>
    <row r="33" spans="1:25" ht="12.75">
      <c r="A33" s="55" t="s">
        <v>78</v>
      </c>
      <c r="B33" s="141"/>
      <c r="C33" s="141"/>
      <c r="D33" s="141"/>
      <c r="E33" s="141"/>
      <c r="F33" s="141"/>
      <c r="G33" s="141"/>
      <c r="H33" s="141"/>
      <c r="I33" s="141"/>
      <c r="J33" s="141"/>
      <c r="K33" s="141"/>
      <c r="L33" s="141"/>
      <c r="M33" s="141"/>
      <c r="N33" s="141"/>
      <c r="O33" s="141"/>
      <c r="P33" s="141"/>
      <c r="Q33" s="141"/>
      <c r="R33" s="141"/>
      <c r="S33" s="141"/>
      <c r="T33" s="141"/>
      <c r="U33" s="141"/>
      <c r="V33" s="141"/>
      <c r="W33" s="141"/>
      <c r="X33" s="141"/>
      <c r="Y33" s="819"/>
    </row>
    <row r="34" spans="1:25" ht="12.75">
      <c r="A34" s="819"/>
      <c r="B34" s="141"/>
      <c r="C34" s="141"/>
      <c r="D34" s="141"/>
      <c r="E34" s="141"/>
      <c r="F34" s="141"/>
      <c r="G34" s="141"/>
      <c r="H34" s="141"/>
      <c r="I34" s="141"/>
      <c r="J34" s="141"/>
      <c r="K34" s="141"/>
      <c r="L34" s="141"/>
      <c r="M34" s="141"/>
      <c r="N34" s="141"/>
      <c r="O34" s="141"/>
      <c r="P34" s="141"/>
      <c r="Q34" s="141"/>
      <c r="R34" s="141"/>
      <c r="S34" s="141"/>
      <c r="T34" s="141"/>
      <c r="U34" s="141"/>
      <c r="V34" s="141"/>
      <c r="W34" s="141"/>
      <c r="X34" s="141"/>
      <c r="Y34" s="819"/>
    </row>
    <row r="35" spans="1:25" ht="12.75">
      <c r="A35" s="730"/>
      <c r="B35" s="141"/>
      <c r="C35" s="141"/>
      <c r="D35" s="141"/>
      <c r="E35" s="141"/>
      <c r="F35" s="141"/>
      <c r="G35" s="141"/>
      <c r="H35" s="141"/>
      <c r="I35" s="141"/>
      <c r="J35" s="141"/>
      <c r="K35" s="141"/>
      <c r="L35" s="141"/>
      <c r="M35" s="141"/>
      <c r="N35" s="141"/>
      <c r="O35" s="141"/>
      <c r="P35" s="141"/>
      <c r="Q35" s="141"/>
      <c r="R35" s="141"/>
      <c r="S35" s="141"/>
      <c r="T35" s="141"/>
      <c r="U35" s="141"/>
      <c r="V35" s="141"/>
      <c r="W35" s="141"/>
      <c r="X35" s="141"/>
      <c r="Y35" s="819"/>
    </row>
    <row r="36" spans="1:25" ht="12.75">
      <c r="A36" s="141"/>
      <c r="B36" s="141"/>
      <c r="C36" s="141"/>
      <c r="D36" s="141"/>
      <c r="E36" s="141"/>
      <c r="F36" s="141"/>
      <c r="G36" s="141"/>
      <c r="H36" s="141"/>
      <c r="I36" s="141"/>
      <c r="J36" s="141"/>
      <c r="K36" s="141"/>
      <c r="L36" s="141"/>
      <c r="M36" s="141"/>
      <c r="N36" s="141"/>
      <c r="O36" s="141"/>
      <c r="P36" s="141"/>
      <c r="Q36" s="141"/>
      <c r="R36" s="141"/>
      <c r="S36" s="141"/>
      <c r="T36" s="141"/>
      <c r="U36" s="141"/>
      <c r="V36" s="141"/>
      <c r="W36" s="141"/>
      <c r="X36" s="141"/>
      <c r="Y36" s="819"/>
    </row>
    <row r="37" spans="1:8" ht="12" customHeight="1">
      <c r="A37" s="53" t="s">
        <v>59</v>
      </c>
      <c r="B37" s="409"/>
      <c r="C37" s="409"/>
      <c r="D37" s="409"/>
      <c r="E37" s="409"/>
      <c r="F37" s="409"/>
      <c r="G37" s="409"/>
      <c r="H37" s="409"/>
    </row>
    <row r="38" spans="1:25" s="419" customFormat="1" ht="12.75">
      <c r="A38" s="1118" t="s">
        <v>792</v>
      </c>
      <c r="B38" s="1118"/>
      <c r="C38" s="1118"/>
      <c r="D38" s="1118"/>
      <c r="E38" s="1118"/>
      <c r="F38" s="1118"/>
      <c r="G38" s="1118"/>
      <c r="H38" s="1118"/>
      <c r="I38" s="1118"/>
      <c r="J38" s="1118"/>
      <c r="K38" s="1118"/>
      <c r="L38" s="1118"/>
      <c r="M38" s="1118"/>
      <c r="N38" s="1118"/>
      <c r="O38" s="1118"/>
      <c r="P38" s="1118"/>
      <c r="Q38" s="1118"/>
      <c r="R38" s="1118"/>
      <c r="S38" s="1118"/>
      <c r="T38" s="1118"/>
      <c r="U38" s="1118"/>
      <c r="V38" s="1118"/>
      <c r="W38" s="1118"/>
      <c r="X38" s="1118"/>
      <c r="Y38" s="1118"/>
    </row>
    <row r="39" spans="1:25" s="419" customFormat="1" ht="12.75">
      <c r="A39" s="1118" t="s">
        <v>793</v>
      </c>
      <c r="B39" s="1118"/>
      <c r="C39" s="1118"/>
      <c r="D39" s="1118"/>
      <c r="E39" s="1118"/>
      <c r="F39" s="1118"/>
      <c r="G39" s="1118"/>
      <c r="H39" s="1118"/>
      <c r="I39" s="1118"/>
      <c r="J39" s="1118"/>
      <c r="K39" s="1118"/>
      <c r="L39" s="1118"/>
      <c r="M39" s="1118"/>
      <c r="N39" s="1118"/>
      <c r="O39" s="1118"/>
      <c r="P39" s="1118"/>
      <c r="Q39" s="1118"/>
      <c r="R39" s="1118"/>
      <c r="S39" s="1118"/>
      <c r="T39" s="1118"/>
      <c r="U39" s="1118"/>
      <c r="V39" s="1118"/>
      <c r="W39" s="1118"/>
      <c r="X39" s="1118"/>
      <c r="Y39" s="1118"/>
    </row>
    <row r="40" spans="2:25" ht="12.75">
      <c r="B40" s="410"/>
      <c r="C40" s="410"/>
      <c r="D40" s="410"/>
      <c r="E40" s="410"/>
      <c r="F40" s="410"/>
      <c r="G40" s="410"/>
      <c r="H40" s="410"/>
      <c r="I40" s="410"/>
      <c r="J40" s="410"/>
      <c r="K40" s="410"/>
      <c r="L40" s="410"/>
      <c r="M40" s="410"/>
      <c r="N40" s="410"/>
      <c r="O40" s="410"/>
      <c r="P40" s="410"/>
      <c r="Q40" s="410"/>
      <c r="R40" s="410"/>
      <c r="S40" s="410"/>
      <c r="T40" s="410"/>
      <c r="U40" s="410"/>
      <c r="V40" s="410"/>
      <c r="W40" s="410"/>
      <c r="X40" s="410"/>
      <c r="Y40" s="820"/>
    </row>
    <row r="41" spans="2:25" ht="15">
      <c r="B41" s="411"/>
      <c r="C41" s="411"/>
      <c r="D41" s="411"/>
      <c r="E41" s="411"/>
      <c r="F41" s="411"/>
      <c r="G41" s="411"/>
      <c r="H41" s="411"/>
      <c r="I41" s="412"/>
      <c r="J41" s="412"/>
      <c r="K41" s="412"/>
      <c r="L41" s="412"/>
      <c r="M41" s="412"/>
      <c r="N41" s="412"/>
      <c r="O41" s="412"/>
      <c r="P41" s="412"/>
      <c r="Q41" s="412"/>
      <c r="R41" s="480"/>
      <c r="S41" s="480"/>
      <c r="T41" s="480"/>
      <c r="U41" s="480"/>
      <c r="V41" s="735"/>
      <c r="W41" s="822"/>
      <c r="X41" s="822"/>
      <c r="Y41" s="821"/>
    </row>
    <row r="42" spans="2:25" ht="12.75">
      <c r="B42" s="411"/>
      <c r="C42" s="411"/>
      <c r="D42" s="411"/>
      <c r="E42" s="411"/>
      <c r="F42" s="411"/>
      <c r="G42" s="411"/>
      <c r="H42" s="411"/>
      <c r="I42" s="410"/>
      <c r="J42" s="410"/>
      <c r="K42" s="410"/>
      <c r="L42" s="410"/>
      <c r="M42" s="410"/>
      <c r="N42" s="410"/>
      <c r="O42" s="410"/>
      <c r="P42" s="410"/>
      <c r="Q42" s="410"/>
      <c r="R42" s="410"/>
      <c r="S42" s="410"/>
      <c r="T42" s="410"/>
      <c r="U42" s="410"/>
      <c r="V42" s="410"/>
      <c r="W42" s="410"/>
      <c r="X42" s="410"/>
      <c r="Y42" s="820"/>
    </row>
    <row r="43" spans="2:25" ht="12.75">
      <c r="B43" s="411"/>
      <c r="C43" s="411"/>
      <c r="D43" s="411"/>
      <c r="E43" s="411"/>
      <c r="F43" s="411"/>
      <c r="G43" s="411"/>
      <c r="H43" s="411"/>
      <c r="I43" s="410"/>
      <c r="J43" s="410"/>
      <c r="K43" s="410"/>
      <c r="L43" s="410"/>
      <c r="M43" s="410"/>
      <c r="N43" s="410"/>
      <c r="O43" s="410"/>
      <c r="P43" s="410"/>
      <c r="Q43" s="410"/>
      <c r="R43" s="410"/>
      <c r="S43" s="410"/>
      <c r="T43" s="410"/>
      <c r="U43" s="410"/>
      <c r="V43" s="410"/>
      <c r="W43" s="410"/>
      <c r="X43" s="410"/>
      <c r="Y43" s="820"/>
    </row>
    <row r="44" spans="2:25" ht="12.75">
      <c r="B44" s="411"/>
      <c r="C44" s="411"/>
      <c r="D44" s="411"/>
      <c r="E44" s="411"/>
      <c r="F44" s="411"/>
      <c r="G44" s="411"/>
      <c r="H44" s="411"/>
      <c r="I44" s="410"/>
      <c r="J44" s="410"/>
      <c r="K44" s="410"/>
      <c r="L44" s="410"/>
      <c r="M44" s="410"/>
      <c r="N44" s="410"/>
      <c r="O44" s="410"/>
      <c r="P44" s="410"/>
      <c r="Q44" s="410"/>
      <c r="R44" s="410"/>
      <c r="S44" s="410"/>
      <c r="T44" s="410"/>
      <c r="U44" s="410"/>
      <c r="V44" s="410"/>
      <c r="W44" s="410"/>
      <c r="X44" s="410"/>
      <c r="Y44" s="820"/>
    </row>
    <row r="45" spans="2:25" ht="12.75">
      <c r="B45" s="411"/>
      <c r="C45" s="411"/>
      <c r="D45" s="411"/>
      <c r="E45" s="411"/>
      <c r="F45" s="411"/>
      <c r="G45" s="411"/>
      <c r="H45" s="411"/>
      <c r="I45" s="410"/>
      <c r="J45" s="410"/>
      <c r="K45" s="410"/>
      <c r="L45" s="410"/>
      <c r="M45" s="410"/>
      <c r="N45" s="410"/>
      <c r="O45" s="410"/>
      <c r="P45" s="410"/>
      <c r="Q45" s="410"/>
      <c r="R45" s="410"/>
      <c r="S45" s="410"/>
      <c r="T45" s="410"/>
      <c r="U45" s="410"/>
      <c r="V45" s="410"/>
      <c r="W45" s="410"/>
      <c r="X45" s="410"/>
      <c r="Y45" s="820"/>
    </row>
    <row r="46" spans="2:25" ht="12.75">
      <c r="B46" s="410"/>
      <c r="C46" s="410"/>
      <c r="D46" s="410"/>
      <c r="E46" s="410"/>
      <c r="F46" s="410"/>
      <c r="G46" s="410"/>
      <c r="H46" s="410"/>
      <c r="I46" s="410"/>
      <c r="J46" s="410"/>
      <c r="K46" s="410"/>
      <c r="L46" s="410"/>
      <c r="M46" s="410"/>
      <c r="N46" s="410"/>
      <c r="O46" s="410"/>
      <c r="P46" s="410"/>
      <c r="Q46" s="410"/>
      <c r="R46" s="410"/>
      <c r="S46" s="410"/>
      <c r="T46" s="410"/>
      <c r="U46" s="410"/>
      <c r="V46" s="410"/>
      <c r="W46" s="410"/>
      <c r="X46" s="410"/>
      <c r="Y46" s="820"/>
    </row>
    <row r="47" spans="2:25" ht="12.75">
      <c r="B47" s="412"/>
      <c r="C47" s="412"/>
      <c r="D47" s="412"/>
      <c r="E47" s="412"/>
      <c r="F47" s="412"/>
      <c r="G47" s="412"/>
      <c r="H47" s="412"/>
      <c r="I47" s="410"/>
      <c r="J47" s="410"/>
      <c r="K47" s="410"/>
      <c r="L47" s="410"/>
      <c r="M47" s="410"/>
      <c r="N47" s="410"/>
      <c r="O47" s="410"/>
      <c r="P47" s="410"/>
      <c r="Q47" s="410"/>
      <c r="R47" s="410"/>
      <c r="S47" s="410"/>
      <c r="T47" s="410"/>
      <c r="U47" s="410"/>
      <c r="V47" s="410"/>
      <c r="W47" s="410"/>
      <c r="X47" s="410"/>
      <c r="Y47" s="820"/>
    </row>
    <row r="48" spans="2:25" ht="12.75">
      <c r="B48" s="410"/>
      <c r="C48" s="410"/>
      <c r="D48" s="410"/>
      <c r="E48" s="410"/>
      <c r="F48" s="410"/>
      <c r="G48" s="410"/>
      <c r="H48" s="410"/>
      <c r="I48" s="410"/>
      <c r="J48" s="410"/>
      <c r="K48" s="410"/>
      <c r="L48" s="410"/>
      <c r="M48" s="410"/>
      <c r="N48" s="410"/>
      <c r="O48" s="410"/>
      <c r="P48" s="410"/>
      <c r="Q48" s="410"/>
      <c r="R48" s="410"/>
      <c r="S48" s="410"/>
      <c r="T48" s="410"/>
      <c r="U48" s="410"/>
      <c r="V48" s="410"/>
      <c r="W48" s="410"/>
      <c r="X48" s="410"/>
      <c r="Y48" s="820"/>
    </row>
    <row r="49" spans="2:8" ht="12.75">
      <c r="B49" s="413"/>
      <c r="C49" s="413"/>
      <c r="D49" s="413"/>
      <c r="E49" s="413"/>
      <c r="F49" s="413"/>
      <c r="G49" s="413"/>
      <c r="H49" s="413"/>
    </row>
    <row r="51" spans="2:8" ht="12.75">
      <c r="B51" s="414"/>
      <c r="C51" s="414"/>
      <c r="D51" s="414"/>
      <c r="E51" s="414"/>
      <c r="F51" s="414"/>
      <c r="G51" s="414"/>
      <c r="H51" s="414"/>
    </row>
    <row r="52" spans="2:8" ht="12.75">
      <c r="B52" s="414"/>
      <c r="C52" s="414"/>
      <c r="D52" s="414"/>
      <c r="E52" s="414"/>
      <c r="F52" s="414"/>
      <c r="G52" s="414"/>
      <c r="H52" s="414"/>
    </row>
    <row r="53" spans="2:8" ht="12.75">
      <c r="B53" s="414"/>
      <c r="C53" s="414"/>
      <c r="D53" s="414"/>
      <c r="E53" s="414"/>
      <c r="F53" s="414"/>
      <c r="G53" s="414"/>
      <c r="H53" s="414"/>
    </row>
    <row r="54" spans="2:8" ht="12.75">
      <c r="B54" s="414"/>
      <c r="C54" s="414"/>
      <c r="D54" s="414"/>
      <c r="E54" s="414"/>
      <c r="F54" s="414"/>
      <c r="G54" s="414"/>
      <c r="H54" s="414"/>
    </row>
    <row r="55" spans="2:8" ht="12.75">
      <c r="B55" s="414"/>
      <c r="C55" s="414"/>
      <c r="D55" s="414"/>
      <c r="E55" s="414"/>
      <c r="F55" s="414"/>
      <c r="G55" s="414"/>
      <c r="H55" s="414"/>
    </row>
    <row r="56" spans="2:8" ht="12.75">
      <c r="B56" s="414"/>
      <c r="C56" s="414"/>
      <c r="D56" s="414"/>
      <c r="E56" s="414"/>
      <c r="F56" s="414"/>
      <c r="G56" s="414"/>
      <c r="H56" s="414"/>
    </row>
    <row r="57" spans="2:8" ht="12.75">
      <c r="B57" s="414"/>
      <c r="C57" s="414"/>
      <c r="D57" s="414"/>
      <c r="E57" s="414"/>
      <c r="F57" s="414"/>
      <c r="G57" s="414"/>
      <c r="H57" s="414"/>
    </row>
    <row r="58" spans="2:8" ht="12.75">
      <c r="B58" s="414"/>
      <c r="C58" s="414"/>
      <c r="D58" s="414"/>
      <c r="E58" s="414"/>
      <c r="F58" s="414"/>
      <c r="G58" s="414"/>
      <c r="H58" s="414"/>
    </row>
    <row r="59" spans="2:8" ht="12.75">
      <c r="B59" s="414"/>
      <c r="C59" s="414"/>
      <c r="D59" s="414"/>
      <c r="E59" s="414"/>
      <c r="F59" s="414"/>
      <c r="G59" s="414"/>
      <c r="H59" s="414"/>
    </row>
    <row r="60" spans="2:8" ht="12.75">
      <c r="B60" s="414"/>
      <c r="C60" s="414"/>
      <c r="D60" s="414"/>
      <c r="E60" s="414"/>
      <c r="F60" s="414"/>
      <c r="G60" s="414"/>
      <c r="H60" s="414"/>
    </row>
  </sheetData>
  <sheetProtection/>
  <mergeCells count="5">
    <mergeCell ref="A1:Y1"/>
    <mergeCell ref="A3:Y3"/>
    <mergeCell ref="A4:Y4"/>
    <mergeCell ref="A38:Y38"/>
    <mergeCell ref="A39:Y39"/>
  </mergeCells>
  <printOptions horizontalCentered="1"/>
  <pageMargins left="0.7874015748031497" right="0.7874015748031497" top="0.984251968503937" bottom="0.984251968503937" header="0" footer="0"/>
  <pageSetup fitToHeight="1" fitToWidth="1" horizontalDpi="600" verticalDpi="600" orientation="landscape" scale="43" r:id="rId1"/>
</worksheet>
</file>

<file path=xl/worksheets/sheet40.xml><?xml version="1.0" encoding="utf-8"?>
<worksheet xmlns="http://schemas.openxmlformats.org/spreadsheetml/2006/main" xmlns:r="http://schemas.openxmlformats.org/officeDocument/2006/relationships">
  <sheetPr>
    <tabColor rgb="FF660066"/>
    <pageSetUpPr fitToPage="1"/>
  </sheetPr>
  <dimension ref="A1:AA30"/>
  <sheetViews>
    <sheetView zoomScalePageLayoutView="0" workbookViewId="0" topLeftCell="N1">
      <selection activeCell="A1" sqref="A1:X1"/>
    </sheetView>
  </sheetViews>
  <sheetFormatPr defaultColWidth="10.8515625" defaultRowHeight="12.75"/>
  <cols>
    <col min="1" max="1" width="65.00390625" style="2" customWidth="1"/>
    <col min="2" max="4" width="11.00390625" style="43" customWidth="1"/>
    <col min="5" max="8" width="11.00390625" style="2" customWidth="1"/>
    <col min="9" max="11" width="11.00390625" style="285" customWidth="1"/>
    <col min="12" max="12" width="11.00390625" style="2" customWidth="1"/>
    <col min="13" max="13" width="11.00390625" style="0" customWidth="1"/>
    <col min="14" max="14" width="11.00390625" style="2" customWidth="1"/>
    <col min="15" max="18" width="11.00390625" style="0" customWidth="1"/>
    <col min="19" max="19" width="11.00390625" style="386" customWidth="1"/>
    <col min="20" max="23" width="11.00390625" style="2" customWidth="1"/>
    <col min="24" max="24" width="11.00390625" style="461" customWidth="1"/>
    <col min="25" max="26" width="10.421875" style="2" customWidth="1"/>
    <col min="27" max="16384" width="10.8515625" style="2" customWidth="1"/>
  </cols>
  <sheetData>
    <row r="1" spans="1:24" ht="12" customHeight="1">
      <c r="A1" s="1175" t="s">
        <v>533</v>
      </c>
      <c r="B1" s="1176"/>
      <c r="C1" s="1176"/>
      <c r="D1" s="1176"/>
      <c r="E1" s="1176"/>
      <c r="F1" s="1176"/>
      <c r="G1" s="1176"/>
      <c r="H1" s="1176"/>
      <c r="I1" s="1176"/>
      <c r="J1" s="1176"/>
      <c r="K1" s="1176"/>
      <c r="L1" s="1176"/>
      <c r="M1" s="1176"/>
      <c r="N1" s="1176"/>
      <c r="O1" s="1176"/>
      <c r="P1" s="1176"/>
      <c r="Q1" s="1176"/>
      <c r="R1" s="1176"/>
      <c r="S1" s="1176"/>
      <c r="T1" s="1176"/>
      <c r="U1" s="1176"/>
      <c r="V1" s="1176"/>
      <c r="W1" s="1176"/>
      <c r="X1" s="1114"/>
    </row>
    <row r="2" spans="1:12" ht="14.25" customHeight="1">
      <c r="A2" s="291"/>
      <c r="B2" s="291"/>
      <c r="C2" s="291"/>
      <c r="D2" s="291"/>
      <c r="E2" s="291"/>
      <c r="F2" s="291"/>
      <c r="G2" s="291"/>
      <c r="H2" s="291"/>
      <c r="I2" s="291"/>
      <c r="J2" s="291"/>
      <c r="K2" s="291"/>
      <c r="L2"/>
    </row>
    <row r="3" spans="1:24" ht="18" customHeight="1">
      <c r="A3" s="1109" t="s">
        <v>28</v>
      </c>
      <c r="B3" s="1109"/>
      <c r="C3" s="1109"/>
      <c r="D3" s="1109"/>
      <c r="E3" s="1109"/>
      <c r="F3" s="1109"/>
      <c r="G3" s="1109"/>
      <c r="H3" s="1109"/>
      <c r="I3" s="1109"/>
      <c r="J3" s="1109"/>
      <c r="K3" s="1109"/>
      <c r="L3" s="1109"/>
      <c r="M3" s="1109"/>
      <c r="N3" s="1109"/>
      <c r="O3" s="1109"/>
      <c r="P3" s="1109"/>
      <c r="Q3" s="1109"/>
      <c r="R3" s="1109"/>
      <c r="S3" s="1109"/>
      <c r="T3" s="1109"/>
      <c r="U3" s="1109"/>
      <c r="V3" s="1109"/>
      <c r="W3" s="1109"/>
      <c r="X3" s="1114"/>
    </row>
    <row r="4" spans="1:24" ht="18" customHeight="1">
      <c r="A4" s="1111" t="s">
        <v>720</v>
      </c>
      <c r="B4" s="1111"/>
      <c r="C4" s="1111"/>
      <c r="D4" s="1111"/>
      <c r="E4" s="1111"/>
      <c r="F4" s="1111"/>
      <c r="G4" s="1111"/>
      <c r="H4" s="1111"/>
      <c r="I4" s="1111"/>
      <c r="J4" s="1111"/>
      <c r="K4" s="1111"/>
      <c r="L4" s="1111"/>
      <c r="M4" s="1111"/>
      <c r="N4" s="1111"/>
      <c r="O4" s="1111"/>
      <c r="P4" s="1111"/>
      <c r="Q4" s="1111"/>
      <c r="R4" s="1111"/>
      <c r="S4" s="1111"/>
      <c r="T4" s="1111"/>
      <c r="U4" s="1111"/>
      <c r="V4" s="1111"/>
      <c r="W4" s="1111"/>
      <c r="X4" s="1107"/>
    </row>
    <row r="5" spans="1:11" ht="18" customHeight="1">
      <c r="A5" s="5"/>
      <c r="B5" s="5"/>
      <c r="C5" s="5"/>
      <c r="D5" s="5"/>
      <c r="E5" s="5"/>
      <c r="F5" s="5"/>
      <c r="G5" s="5"/>
      <c r="H5" s="5"/>
      <c r="I5" s="291"/>
      <c r="J5" s="291"/>
      <c r="K5" s="291"/>
    </row>
    <row r="6" spans="1:24" ht="18" customHeight="1">
      <c r="A6" s="5"/>
      <c r="B6" s="290">
        <v>2000</v>
      </c>
      <c r="C6" s="290">
        <v>2001</v>
      </c>
      <c r="D6" s="290">
        <v>2002</v>
      </c>
      <c r="E6" s="290">
        <v>2003</v>
      </c>
      <c r="F6" s="290">
        <v>2004</v>
      </c>
      <c r="G6" s="290">
        <v>2005</v>
      </c>
      <c r="H6" s="290">
        <v>2006</v>
      </c>
      <c r="I6" s="290">
        <v>2007</v>
      </c>
      <c r="J6" s="290">
        <v>2008</v>
      </c>
      <c r="K6" s="290">
        <v>2009</v>
      </c>
      <c r="L6" s="290">
        <v>2010</v>
      </c>
      <c r="M6" s="290">
        <v>2011</v>
      </c>
      <c r="N6" s="290">
        <v>2012</v>
      </c>
      <c r="O6" s="290">
        <v>2013</v>
      </c>
      <c r="P6" s="290">
        <v>2014</v>
      </c>
      <c r="Q6" s="290">
        <v>2015</v>
      </c>
      <c r="R6" s="290">
        <v>2016</v>
      </c>
      <c r="S6" s="381">
        <v>2017</v>
      </c>
      <c r="T6" s="290">
        <v>2018</v>
      </c>
      <c r="U6" s="290">
        <v>2019</v>
      </c>
      <c r="V6" s="290">
        <v>2020</v>
      </c>
      <c r="W6" s="290">
        <v>2021</v>
      </c>
      <c r="X6" s="463">
        <v>2022</v>
      </c>
    </row>
    <row r="7" spans="1:24" ht="18" customHeight="1">
      <c r="A7" s="176" t="s">
        <v>403</v>
      </c>
      <c r="B7" s="176"/>
      <c r="C7" s="176"/>
      <c r="D7" s="176"/>
      <c r="E7" s="176"/>
      <c r="F7" s="176"/>
      <c r="G7" s="176"/>
      <c r="H7" s="176"/>
      <c r="I7" s="290"/>
      <c r="J7" s="290"/>
      <c r="K7" s="222"/>
      <c r="L7" s="290"/>
      <c r="M7" s="290"/>
      <c r="N7" s="290"/>
      <c r="O7" s="290"/>
      <c r="P7" s="290"/>
      <c r="Q7" s="290"/>
      <c r="R7" s="290"/>
      <c r="S7" s="381"/>
      <c r="T7" s="290"/>
      <c r="U7" s="290"/>
      <c r="V7" s="290"/>
      <c r="W7" s="290"/>
      <c r="X7" s="463"/>
    </row>
    <row r="8" spans="1:27" s="9" customFormat="1" ht="18" customHeight="1">
      <c r="A8" s="193" t="s">
        <v>553</v>
      </c>
      <c r="B8" s="181">
        <v>25000</v>
      </c>
      <c r="C8" s="181">
        <v>35700</v>
      </c>
      <c r="D8" s="181">
        <v>38000</v>
      </c>
      <c r="E8" s="181">
        <v>41471</v>
      </c>
      <c r="F8" s="181">
        <v>41848</v>
      </c>
      <c r="G8" s="181">
        <v>46000</v>
      </c>
      <c r="H8" s="181">
        <v>47342</v>
      </c>
      <c r="I8" s="181">
        <v>50477</v>
      </c>
      <c r="J8" s="181">
        <v>54154</v>
      </c>
      <c r="K8" s="181">
        <v>56150</v>
      </c>
      <c r="L8" s="181">
        <v>66116</v>
      </c>
      <c r="M8" s="170">
        <v>66167</v>
      </c>
      <c r="N8" s="170">
        <v>67664</v>
      </c>
      <c r="O8" s="170">
        <v>72329</v>
      </c>
      <c r="P8" s="170">
        <v>75408</v>
      </c>
      <c r="Q8" s="302">
        <v>80067</v>
      </c>
      <c r="R8" s="302">
        <v>78233</v>
      </c>
      <c r="S8" s="454">
        <v>80777</v>
      </c>
      <c r="T8" s="446">
        <v>83436</v>
      </c>
      <c r="U8" s="446">
        <v>83901</v>
      </c>
      <c r="V8" s="446">
        <v>86575</v>
      </c>
      <c r="W8" s="446">
        <v>91987</v>
      </c>
      <c r="X8" s="800">
        <v>101828</v>
      </c>
      <c r="Y8" s="2"/>
      <c r="Z8" s="2"/>
      <c r="AA8" s="2"/>
    </row>
    <row r="9" spans="1:27" s="9" customFormat="1" ht="18" customHeight="1">
      <c r="A9" s="174" t="s">
        <v>404</v>
      </c>
      <c r="B9" s="181">
        <v>180</v>
      </c>
      <c r="C9" s="181">
        <v>230</v>
      </c>
      <c r="D9" s="181">
        <v>280</v>
      </c>
      <c r="E9" s="181">
        <v>350</v>
      </c>
      <c r="F9" s="181">
        <v>400</v>
      </c>
      <c r="G9" s="181">
        <v>450</v>
      </c>
      <c r="H9" s="181">
        <v>453</v>
      </c>
      <c r="I9" s="181">
        <v>506</v>
      </c>
      <c r="J9" s="181">
        <v>419</v>
      </c>
      <c r="K9" s="181">
        <v>454</v>
      </c>
      <c r="L9" s="181">
        <v>435</v>
      </c>
      <c r="M9" s="170">
        <v>1941</v>
      </c>
      <c r="N9" s="170">
        <v>1795</v>
      </c>
      <c r="O9" s="170">
        <v>1868</v>
      </c>
      <c r="P9" s="170">
        <v>1810</v>
      </c>
      <c r="Q9" s="302">
        <v>1981</v>
      </c>
      <c r="R9" s="302">
        <v>2016</v>
      </c>
      <c r="S9" s="454">
        <v>2042</v>
      </c>
      <c r="T9" s="446">
        <v>2057</v>
      </c>
      <c r="U9" s="446">
        <v>2072</v>
      </c>
      <c r="V9" s="446">
        <v>2307</v>
      </c>
      <c r="W9" s="446">
        <v>3134</v>
      </c>
      <c r="X9" s="800">
        <v>3357</v>
      </c>
      <c r="Y9" s="2"/>
      <c r="Z9" s="2"/>
      <c r="AA9" s="2"/>
    </row>
    <row r="10" spans="1:27" s="41" customFormat="1" ht="18" customHeight="1">
      <c r="A10" s="193" t="s">
        <v>838</v>
      </c>
      <c r="B10" s="181" t="s">
        <v>90</v>
      </c>
      <c r="C10" s="181" t="s">
        <v>90</v>
      </c>
      <c r="D10" s="181" t="s">
        <v>90</v>
      </c>
      <c r="E10" s="181" t="s">
        <v>90</v>
      </c>
      <c r="F10" s="181" t="s">
        <v>90</v>
      </c>
      <c r="G10" s="181" t="s">
        <v>90</v>
      </c>
      <c r="H10" s="181">
        <v>11000</v>
      </c>
      <c r="I10" s="181">
        <v>22832</v>
      </c>
      <c r="J10" s="181">
        <v>33677</v>
      </c>
      <c r="K10" s="181">
        <v>49404</v>
      </c>
      <c r="L10" s="181">
        <v>78698</v>
      </c>
      <c r="M10" s="170">
        <v>86968</v>
      </c>
      <c r="N10" s="170">
        <v>86968</v>
      </c>
      <c r="O10" s="170">
        <v>165836</v>
      </c>
      <c r="P10" s="170">
        <v>197595</v>
      </c>
      <c r="Q10" s="302">
        <v>121056</v>
      </c>
      <c r="R10" s="302">
        <v>138635</v>
      </c>
      <c r="S10" s="454">
        <v>156701</v>
      </c>
      <c r="T10" s="446">
        <v>175082</v>
      </c>
      <c r="U10" s="446">
        <v>203801</v>
      </c>
      <c r="V10" s="446">
        <v>188839</v>
      </c>
      <c r="W10" s="446">
        <v>202333</v>
      </c>
      <c r="X10" s="800">
        <v>140708</v>
      </c>
      <c r="Y10" s="2"/>
      <c r="Z10" s="2"/>
      <c r="AA10" s="2"/>
    </row>
    <row r="11" spans="1:26" s="41" customFormat="1" ht="18" customHeight="1">
      <c r="A11" s="193" t="s">
        <v>405</v>
      </c>
      <c r="B11" s="181" t="s">
        <v>90</v>
      </c>
      <c r="C11" s="181" t="s">
        <v>90</v>
      </c>
      <c r="D11" s="181" t="s">
        <v>90</v>
      </c>
      <c r="E11" s="181" t="s">
        <v>90</v>
      </c>
      <c r="F11" s="181" t="s">
        <v>90</v>
      </c>
      <c r="G11" s="181" t="s">
        <v>90</v>
      </c>
      <c r="H11" s="181">
        <v>100</v>
      </c>
      <c r="I11" s="181">
        <v>300</v>
      </c>
      <c r="J11" s="181">
        <v>500</v>
      </c>
      <c r="K11" s="181">
        <v>700</v>
      </c>
      <c r="L11" s="181">
        <v>900</v>
      </c>
      <c r="M11" s="170">
        <v>1120</v>
      </c>
      <c r="N11" s="170">
        <v>1120</v>
      </c>
      <c r="O11" s="170">
        <v>3200</v>
      </c>
      <c r="P11" s="170">
        <v>3200</v>
      </c>
      <c r="Q11" s="302">
        <v>21000</v>
      </c>
      <c r="R11" s="302">
        <v>26000</v>
      </c>
      <c r="S11" s="454">
        <v>24000</v>
      </c>
      <c r="T11" s="446">
        <v>29000</v>
      </c>
      <c r="U11" s="446">
        <v>29000</v>
      </c>
      <c r="V11" s="446">
        <v>31160</v>
      </c>
      <c r="W11" s="446">
        <v>27000</v>
      </c>
      <c r="X11" s="800">
        <v>29000</v>
      </c>
      <c r="Y11" s="131"/>
      <c r="Z11" s="2"/>
    </row>
    <row r="12" spans="1:26" s="41" customFormat="1" ht="18" customHeight="1">
      <c r="A12" s="173" t="s">
        <v>750</v>
      </c>
      <c r="B12" s="963"/>
      <c r="C12" s="963"/>
      <c r="D12" s="963"/>
      <c r="E12" s="963"/>
      <c r="F12" s="963"/>
      <c r="G12" s="963"/>
      <c r="H12" s="963"/>
      <c r="I12" s="963"/>
      <c r="J12" s="963"/>
      <c r="K12" s="963"/>
      <c r="L12" s="963"/>
      <c r="M12" s="964"/>
      <c r="N12" s="964"/>
      <c r="O12" s="964"/>
      <c r="P12" s="964"/>
      <c r="Q12" s="965"/>
      <c r="R12" s="965"/>
      <c r="S12" s="966"/>
      <c r="T12" s="967"/>
      <c r="U12" s="967"/>
      <c r="V12" s="967"/>
      <c r="W12" s="967"/>
      <c r="X12" s="968"/>
      <c r="Y12" s="131"/>
      <c r="Z12" s="2"/>
    </row>
    <row r="13" spans="1:27" s="41" customFormat="1" ht="18" customHeight="1">
      <c r="A13" s="174" t="s">
        <v>753</v>
      </c>
      <c r="B13" s="181">
        <v>15.21</v>
      </c>
      <c r="C13" s="181">
        <v>15.2</v>
      </c>
      <c r="D13" s="181">
        <v>15.2</v>
      </c>
      <c r="E13" s="181">
        <v>95</v>
      </c>
      <c r="F13" s="181">
        <v>115</v>
      </c>
      <c r="G13" s="181">
        <v>153</v>
      </c>
      <c r="H13" s="181">
        <v>7347</v>
      </c>
      <c r="I13" s="181">
        <v>7347</v>
      </c>
      <c r="J13" s="181">
        <v>7266</v>
      </c>
      <c r="K13" s="181">
        <v>7266</v>
      </c>
      <c r="L13" s="181">
        <v>7266</v>
      </c>
      <c r="M13" s="181">
        <v>7194</v>
      </c>
      <c r="N13" s="181">
        <v>7194</v>
      </c>
      <c r="O13" s="181">
        <v>118400</v>
      </c>
      <c r="P13" s="181">
        <v>118400</v>
      </c>
      <c r="Q13" s="446">
        <v>160128</v>
      </c>
      <c r="R13" s="446">
        <v>227950</v>
      </c>
      <c r="S13" s="454">
        <v>232827</v>
      </c>
      <c r="T13" s="446">
        <v>302633</v>
      </c>
      <c r="U13" s="446">
        <v>302633</v>
      </c>
      <c r="V13" s="446">
        <v>291164</v>
      </c>
      <c r="W13" s="446">
        <v>291996</v>
      </c>
      <c r="X13" s="800">
        <v>304371.2</v>
      </c>
      <c r="Y13" s="2"/>
      <c r="Z13" s="2"/>
      <c r="AA13" s="2"/>
    </row>
    <row r="14" spans="1:27" s="9" customFormat="1" ht="18" customHeight="1">
      <c r="A14" s="173" t="s">
        <v>406</v>
      </c>
      <c r="B14" s="177"/>
      <c r="C14" s="177"/>
      <c r="D14" s="177"/>
      <c r="E14" s="177"/>
      <c r="F14" s="177"/>
      <c r="G14" s="177"/>
      <c r="H14" s="177"/>
      <c r="I14" s="171"/>
      <c r="J14" s="171"/>
      <c r="K14" s="223"/>
      <c r="L14" s="171"/>
      <c r="M14" s="171"/>
      <c r="N14" s="171"/>
      <c r="O14" s="171"/>
      <c r="P14" s="171"/>
      <c r="Q14" s="344"/>
      <c r="R14" s="344"/>
      <c r="S14" s="456"/>
      <c r="T14" s="344"/>
      <c r="U14" s="344"/>
      <c r="V14" s="344"/>
      <c r="W14" s="344"/>
      <c r="X14" s="962"/>
      <c r="Y14" s="2"/>
      <c r="Z14" s="2"/>
      <c r="AA14" s="2"/>
    </row>
    <row r="15" spans="1:27" s="9" customFormat="1" ht="18" customHeight="1">
      <c r="A15" s="174" t="s">
        <v>754</v>
      </c>
      <c r="B15" s="181">
        <v>70000</v>
      </c>
      <c r="C15" s="181">
        <v>70000</v>
      </c>
      <c r="D15" s="181">
        <v>70000</v>
      </c>
      <c r="E15" s="181">
        <v>70000</v>
      </c>
      <c r="F15" s="181">
        <v>109000</v>
      </c>
      <c r="G15" s="181">
        <v>109500</v>
      </c>
      <c r="H15" s="181">
        <v>110000</v>
      </c>
      <c r="I15" s="181">
        <v>367377</v>
      </c>
      <c r="J15" s="181">
        <v>445409</v>
      </c>
      <c r="K15" s="181">
        <v>496663</v>
      </c>
      <c r="L15" s="181">
        <v>240616</v>
      </c>
      <c r="M15" s="170">
        <v>311125</v>
      </c>
      <c r="N15" s="170">
        <v>318382</v>
      </c>
      <c r="O15" s="170">
        <v>297973</v>
      </c>
      <c r="P15" s="170">
        <v>327001</v>
      </c>
      <c r="Q15" s="302">
        <v>349259</v>
      </c>
      <c r="R15" s="302">
        <v>395425</v>
      </c>
      <c r="S15" s="454">
        <v>435234</v>
      </c>
      <c r="T15" s="446">
        <v>460343</v>
      </c>
      <c r="U15" s="446">
        <v>499706</v>
      </c>
      <c r="V15" s="446">
        <v>592121</v>
      </c>
      <c r="W15" s="446">
        <v>631784</v>
      </c>
      <c r="X15" s="800">
        <v>663290</v>
      </c>
      <c r="Y15" s="2"/>
      <c r="Z15" s="2"/>
      <c r="AA15" s="2"/>
    </row>
    <row r="16" spans="1:27" s="9" customFormat="1" ht="18" customHeight="1">
      <c r="A16" s="174" t="s">
        <v>755</v>
      </c>
      <c r="B16" s="181">
        <v>80000</v>
      </c>
      <c r="C16" s="181">
        <v>85000</v>
      </c>
      <c r="D16" s="181">
        <v>90000</v>
      </c>
      <c r="E16" s="181">
        <v>100000</v>
      </c>
      <c r="F16" s="181">
        <v>139000</v>
      </c>
      <c r="G16" s="181">
        <v>248000</v>
      </c>
      <c r="H16" s="181">
        <v>260000</v>
      </c>
      <c r="I16" s="181">
        <v>436896</v>
      </c>
      <c r="J16" s="181">
        <v>522486</v>
      </c>
      <c r="K16" s="181">
        <v>626343</v>
      </c>
      <c r="L16" s="181">
        <v>531049</v>
      </c>
      <c r="M16" s="170">
        <v>673518</v>
      </c>
      <c r="N16" s="170">
        <v>831958</v>
      </c>
      <c r="O16" s="170">
        <v>859250</v>
      </c>
      <c r="P16" s="170">
        <v>886542</v>
      </c>
      <c r="Q16" s="302">
        <v>941183</v>
      </c>
      <c r="R16" s="302">
        <v>1020038</v>
      </c>
      <c r="S16" s="454">
        <v>1125398</v>
      </c>
      <c r="T16" s="446">
        <v>1128485</v>
      </c>
      <c r="U16" s="446">
        <v>1129223</v>
      </c>
      <c r="V16" s="446">
        <v>1242156</v>
      </c>
      <c r="W16" s="446">
        <v>1242156</v>
      </c>
      <c r="X16" s="800">
        <v>1253323</v>
      </c>
      <c r="Y16" s="2"/>
      <c r="Z16" s="2"/>
      <c r="AA16" s="2"/>
    </row>
    <row r="17" spans="1:27" s="9" customFormat="1" ht="18" customHeight="1">
      <c r="A17" s="176" t="s">
        <v>407</v>
      </c>
      <c r="B17" s="192">
        <v>202</v>
      </c>
      <c r="C17" s="192">
        <v>272</v>
      </c>
      <c r="D17" s="192">
        <v>330</v>
      </c>
      <c r="E17" s="192">
        <v>363</v>
      </c>
      <c r="F17" s="192">
        <v>393</v>
      </c>
      <c r="G17" s="192">
        <v>408</v>
      </c>
      <c r="H17" s="192">
        <v>470</v>
      </c>
      <c r="I17" s="192">
        <v>506</v>
      </c>
      <c r="J17" s="192">
        <v>537</v>
      </c>
      <c r="K17" s="192">
        <v>524</v>
      </c>
      <c r="L17" s="192">
        <v>545</v>
      </c>
      <c r="M17" s="192">
        <v>616</v>
      </c>
      <c r="N17" s="192">
        <v>616</v>
      </c>
      <c r="O17" s="192">
        <v>754</v>
      </c>
      <c r="P17" s="192">
        <v>787</v>
      </c>
      <c r="Q17" s="343">
        <v>840</v>
      </c>
      <c r="R17" s="343">
        <v>880</v>
      </c>
      <c r="S17" s="455">
        <v>910</v>
      </c>
      <c r="T17" s="343">
        <v>947</v>
      </c>
      <c r="U17" s="343">
        <v>975</v>
      </c>
      <c r="V17" s="343">
        <v>1010</v>
      </c>
      <c r="W17" s="343">
        <v>1065</v>
      </c>
      <c r="X17" s="961">
        <v>1116</v>
      </c>
      <c r="Y17" s="2"/>
      <c r="Z17" s="2"/>
      <c r="AA17" s="2"/>
    </row>
    <row r="18" spans="1:26" s="9" customFormat="1" ht="18" customHeight="1">
      <c r="A18" s="173" t="s">
        <v>684</v>
      </c>
      <c r="B18" s="192">
        <v>45</v>
      </c>
      <c r="C18" s="192">
        <v>55</v>
      </c>
      <c r="D18" s="192">
        <v>65</v>
      </c>
      <c r="E18" s="192">
        <v>70</v>
      </c>
      <c r="F18" s="192">
        <v>97</v>
      </c>
      <c r="G18" s="192">
        <v>130</v>
      </c>
      <c r="H18" s="192">
        <v>132</v>
      </c>
      <c r="I18" s="192">
        <v>187</v>
      </c>
      <c r="J18" s="192">
        <v>198</v>
      </c>
      <c r="K18" s="192">
        <v>221</v>
      </c>
      <c r="L18" s="192">
        <v>234</v>
      </c>
      <c r="M18" s="192">
        <v>248</v>
      </c>
      <c r="N18" s="192">
        <v>248</v>
      </c>
      <c r="O18" s="192">
        <v>298</v>
      </c>
      <c r="P18" s="192">
        <v>317</v>
      </c>
      <c r="Q18" s="343">
        <v>326</v>
      </c>
      <c r="R18" s="343">
        <v>330</v>
      </c>
      <c r="S18" s="455">
        <v>344</v>
      </c>
      <c r="T18" s="343">
        <v>367</v>
      </c>
      <c r="U18" s="343">
        <v>369</v>
      </c>
      <c r="V18" s="343">
        <v>369</v>
      </c>
      <c r="W18" s="343">
        <v>369</v>
      </c>
      <c r="X18" s="961">
        <v>369</v>
      </c>
      <c r="Y18" s="2"/>
      <c r="Z18" s="2"/>
    </row>
    <row r="19" spans="1:26" s="9" customFormat="1" ht="18" customHeight="1">
      <c r="A19" s="173" t="s">
        <v>756</v>
      </c>
      <c r="B19" s="969" t="s">
        <v>90</v>
      </c>
      <c r="C19" s="969" t="s">
        <v>90</v>
      </c>
      <c r="D19" s="969" t="s">
        <v>90</v>
      </c>
      <c r="E19" s="969" t="s">
        <v>90</v>
      </c>
      <c r="F19" s="969" t="s">
        <v>90</v>
      </c>
      <c r="G19" s="969" t="s">
        <v>90</v>
      </c>
      <c r="H19" s="969" t="s">
        <v>90</v>
      </c>
      <c r="I19" s="969" t="s">
        <v>90</v>
      </c>
      <c r="J19" s="969" t="s">
        <v>90</v>
      </c>
      <c r="K19" s="969" t="s">
        <v>90</v>
      </c>
      <c r="L19" s="969" t="s">
        <v>90</v>
      </c>
      <c r="M19" s="969" t="s">
        <v>90</v>
      </c>
      <c r="N19" s="969" t="s">
        <v>90</v>
      </c>
      <c r="O19" s="969" t="s">
        <v>90</v>
      </c>
      <c r="P19" s="969" t="s">
        <v>90</v>
      </c>
      <c r="Q19" s="969" t="s">
        <v>90</v>
      </c>
      <c r="R19" s="969" t="s">
        <v>90</v>
      </c>
      <c r="S19" s="969" t="s">
        <v>90</v>
      </c>
      <c r="T19" s="192">
        <v>204</v>
      </c>
      <c r="U19" s="192">
        <v>271</v>
      </c>
      <c r="V19" s="192">
        <v>259</v>
      </c>
      <c r="W19" s="192">
        <v>244</v>
      </c>
      <c r="X19" s="482">
        <v>283</v>
      </c>
      <c r="Y19" s="2"/>
      <c r="Z19" s="2"/>
    </row>
    <row r="20" spans="1:26" s="9" customFormat="1" ht="18" customHeight="1">
      <c r="A20" s="173" t="s">
        <v>758</v>
      </c>
      <c r="B20" s="969" t="s">
        <v>90</v>
      </c>
      <c r="C20" s="969" t="s">
        <v>90</v>
      </c>
      <c r="D20" s="969" t="s">
        <v>90</v>
      </c>
      <c r="E20" s="969" t="s">
        <v>90</v>
      </c>
      <c r="F20" s="969" t="s">
        <v>90</v>
      </c>
      <c r="G20" s="969" t="s">
        <v>90</v>
      </c>
      <c r="H20" s="969" t="s">
        <v>90</v>
      </c>
      <c r="I20" s="969" t="s">
        <v>90</v>
      </c>
      <c r="J20" s="969" t="s">
        <v>90</v>
      </c>
      <c r="K20" s="969" t="s">
        <v>90</v>
      </c>
      <c r="L20" s="969" t="s">
        <v>90</v>
      </c>
      <c r="M20" s="969" t="s">
        <v>90</v>
      </c>
      <c r="N20" s="969" t="s">
        <v>90</v>
      </c>
      <c r="O20" s="969" t="s">
        <v>90</v>
      </c>
      <c r="P20" s="969" t="s">
        <v>90</v>
      </c>
      <c r="Q20" s="969" t="s">
        <v>90</v>
      </c>
      <c r="R20" s="969" t="s">
        <v>90</v>
      </c>
      <c r="S20" s="969" t="s">
        <v>90</v>
      </c>
      <c r="T20" s="969" t="s">
        <v>90</v>
      </c>
      <c r="U20" s="969" t="s">
        <v>90</v>
      </c>
      <c r="V20" s="192">
        <v>20500</v>
      </c>
      <c r="W20" s="192">
        <v>33002</v>
      </c>
      <c r="X20" s="482">
        <v>36024</v>
      </c>
      <c r="Y20" s="2"/>
      <c r="Z20" s="2"/>
    </row>
    <row r="21" spans="1:26" s="9" customFormat="1" ht="12.75" customHeight="1">
      <c r="A21" s="15"/>
      <c r="B21" s="7"/>
      <c r="C21" s="51"/>
      <c r="D21" s="51"/>
      <c r="E21" s="51"/>
      <c r="F21" s="51"/>
      <c r="G21" s="51"/>
      <c r="H21" s="51"/>
      <c r="I21" s="51"/>
      <c r="J21" s="51"/>
      <c r="K21" s="51"/>
      <c r="L21" s="51"/>
      <c r="M21" s="132"/>
      <c r="N21" s="2"/>
      <c r="O21"/>
      <c r="P21"/>
      <c r="Q21"/>
      <c r="R21"/>
      <c r="S21" s="386"/>
      <c r="T21" s="2"/>
      <c r="U21" s="2"/>
      <c r="V21" s="2"/>
      <c r="W21" s="2"/>
      <c r="X21" s="461"/>
      <c r="Y21" s="2"/>
      <c r="Z21" s="2"/>
    </row>
    <row r="22" spans="1:26" s="42" customFormat="1" ht="12" customHeight="1">
      <c r="A22" s="6" t="s">
        <v>408</v>
      </c>
      <c r="B22" s="13"/>
      <c r="C22" s="13"/>
      <c r="D22" s="13"/>
      <c r="E22" s="13"/>
      <c r="F22" s="13"/>
      <c r="G22" s="13"/>
      <c r="H22" s="13"/>
      <c r="I22" s="35"/>
      <c r="J22" s="35"/>
      <c r="K22" s="35"/>
      <c r="L22" s="8"/>
      <c r="M22" s="8"/>
      <c r="N22" s="2"/>
      <c r="O22"/>
      <c r="P22"/>
      <c r="Q22"/>
      <c r="R22"/>
      <c r="S22" s="386"/>
      <c r="T22" s="2"/>
      <c r="U22" s="2"/>
      <c r="V22" s="2"/>
      <c r="W22" s="2"/>
      <c r="X22" s="461"/>
      <c r="Y22" s="8"/>
      <c r="Z22" s="8"/>
    </row>
    <row r="23" spans="1:26" s="42" customFormat="1" ht="12" customHeight="1">
      <c r="A23" s="6" t="s">
        <v>751</v>
      </c>
      <c r="B23" s="13"/>
      <c r="C23" s="13"/>
      <c r="D23" s="13"/>
      <c r="E23" s="13"/>
      <c r="F23" s="13"/>
      <c r="G23" s="13"/>
      <c r="H23" s="13"/>
      <c r="I23" s="35"/>
      <c r="J23" s="35"/>
      <c r="K23" s="35"/>
      <c r="L23" s="8"/>
      <c r="M23" s="8"/>
      <c r="N23" s="2"/>
      <c r="O23"/>
      <c r="P23"/>
      <c r="Q23"/>
      <c r="R23"/>
      <c r="S23" s="386"/>
      <c r="T23" s="2"/>
      <c r="U23" s="2"/>
      <c r="V23" s="2"/>
      <c r="W23" s="2"/>
      <c r="X23" s="461"/>
      <c r="Y23" s="8"/>
      <c r="Z23" s="8"/>
    </row>
    <row r="24" spans="1:25" s="42" customFormat="1" ht="12" customHeight="1">
      <c r="A24" s="6" t="s">
        <v>752</v>
      </c>
      <c r="B24" s="13"/>
      <c r="C24" s="13"/>
      <c r="D24" s="13"/>
      <c r="E24" s="13"/>
      <c r="F24" s="13"/>
      <c r="G24" s="13"/>
      <c r="H24" s="13"/>
      <c r="I24" s="35"/>
      <c r="J24" s="35"/>
      <c r="K24" s="35"/>
      <c r="L24" s="8"/>
      <c r="M24" s="8"/>
      <c r="N24" s="2"/>
      <c r="O24"/>
      <c r="P24"/>
      <c r="Q24"/>
      <c r="R24"/>
      <c r="S24" s="386"/>
      <c r="T24" s="2"/>
      <c r="U24" s="8"/>
      <c r="V24" s="8"/>
      <c r="W24" s="8"/>
      <c r="X24" s="930"/>
      <c r="Y24" s="8"/>
    </row>
    <row r="25" spans="1:25" s="42" customFormat="1" ht="12" customHeight="1">
      <c r="A25" s="6" t="s">
        <v>839</v>
      </c>
      <c r="B25" s="13"/>
      <c r="C25" s="13"/>
      <c r="D25" s="13"/>
      <c r="E25" s="13"/>
      <c r="F25" s="13"/>
      <c r="G25" s="13"/>
      <c r="H25" s="13"/>
      <c r="I25" s="35"/>
      <c r="J25" s="35"/>
      <c r="K25" s="35"/>
      <c r="L25" s="8"/>
      <c r="M25" s="8"/>
      <c r="N25" s="2"/>
      <c r="O25"/>
      <c r="P25"/>
      <c r="Q25"/>
      <c r="R25"/>
      <c r="S25" s="386"/>
      <c r="T25" s="2"/>
      <c r="U25" s="8"/>
      <c r="V25" s="8"/>
      <c r="W25" s="930"/>
      <c r="X25" s="930"/>
      <c r="Y25" s="8"/>
    </row>
    <row r="26" spans="1:26" s="42" customFormat="1" ht="12" customHeight="1">
      <c r="A26" s="6"/>
      <c r="B26" s="13"/>
      <c r="C26" s="13"/>
      <c r="D26" s="13"/>
      <c r="E26" s="13"/>
      <c r="F26" s="13"/>
      <c r="G26" s="13"/>
      <c r="H26" s="13"/>
      <c r="I26" s="35"/>
      <c r="J26" s="35"/>
      <c r="K26" s="35"/>
      <c r="L26" s="8"/>
      <c r="M26" s="8"/>
      <c r="N26" s="8"/>
      <c r="O26" s="8"/>
      <c r="P26" s="8"/>
      <c r="Q26" s="8"/>
      <c r="R26" s="8"/>
      <c r="S26" s="457"/>
      <c r="T26" s="8"/>
      <c r="U26" s="8"/>
      <c r="V26" s="8"/>
      <c r="W26" s="8"/>
      <c r="X26" s="930"/>
      <c r="Y26" s="8"/>
      <c r="Z26" s="8"/>
    </row>
    <row r="27" spans="1:24" s="8" customFormat="1" ht="11.25">
      <c r="A27" s="13" t="s">
        <v>409</v>
      </c>
      <c r="B27" s="13"/>
      <c r="C27" s="13"/>
      <c r="D27" s="13"/>
      <c r="E27" s="13"/>
      <c r="F27" s="13"/>
      <c r="G27" s="13"/>
      <c r="H27" s="13"/>
      <c r="I27" s="35"/>
      <c r="J27" s="35"/>
      <c r="K27" s="35"/>
      <c r="S27" s="457"/>
      <c r="X27" s="930"/>
    </row>
    <row r="28" spans="1:24" s="13" customFormat="1" ht="13.5" customHeight="1">
      <c r="A28" s="1106" t="s">
        <v>780</v>
      </c>
      <c r="B28" s="1106"/>
      <c r="C28" s="1106"/>
      <c r="D28" s="1106"/>
      <c r="E28" s="1106"/>
      <c r="F28" s="1106"/>
      <c r="G28" s="1106"/>
      <c r="H28" s="1106"/>
      <c r="I28" s="1106"/>
      <c r="J28" s="1106"/>
      <c r="K28" s="1112"/>
      <c r="L28" s="1112"/>
      <c r="M28" s="1112"/>
      <c r="N28" s="1112"/>
      <c r="O28" s="1112"/>
      <c r="P28" s="1112"/>
      <c r="Q28" s="1112"/>
      <c r="R28" s="1112"/>
      <c r="S28" s="1112"/>
      <c r="T28" s="1112"/>
      <c r="U28" s="1112"/>
      <c r="V28" s="1112"/>
      <c r="W28" s="1112"/>
      <c r="X28" s="1112"/>
    </row>
    <row r="29" spans="1:24" ht="12.75">
      <c r="A29" s="1106" t="s">
        <v>840</v>
      </c>
      <c r="B29" s="1106"/>
      <c r="C29" s="1106"/>
      <c r="D29" s="1106"/>
      <c r="E29" s="1106"/>
      <c r="F29" s="1106"/>
      <c r="G29" s="1106"/>
      <c r="H29" s="1106"/>
      <c r="I29" s="1106"/>
      <c r="J29" s="1106"/>
      <c r="K29" s="1106"/>
      <c r="L29" s="1106"/>
      <c r="M29" s="1106"/>
      <c r="N29" s="1106"/>
      <c r="O29" s="1106"/>
      <c r="P29" s="1106"/>
      <c r="Q29" s="1106"/>
      <c r="R29" s="1106"/>
      <c r="S29" s="1106"/>
      <c r="T29" s="1106"/>
      <c r="U29" s="1106"/>
      <c r="V29" s="1106"/>
      <c r="W29" s="1106"/>
      <c r="X29" s="1107"/>
    </row>
    <row r="30" spans="2:14" ht="12.75">
      <c r="B30" s="2"/>
      <c r="C30" s="2"/>
      <c r="D30" s="2"/>
      <c r="N30"/>
    </row>
  </sheetData>
  <sheetProtection/>
  <mergeCells count="5">
    <mergeCell ref="A1:X1"/>
    <mergeCell ref="A3:X3"/>
    <mergeCell ref="A4:X4"/>
    <mergeCell ref="A28:X28"/>
    <mergeCell ref="A29:X29"/>
  </mergeCells>
  <printOptions horizontalCentered="1"/>
  <pageMargins left="0.7874015748031497" right="0.7874015748031497" top="0.984251968503937" bottom="0.984251968503937" header="0" footer="0"/>
  <pageSetup fitToHeight="1" fitToWidth="1" horizontalDpi="600" verticalDpi="600" orientation="landscape" scale="43"/>
</worksheet>
</file>

<file path=xl/worksheets/sheet41.xml><?xml version="1.0" encoding="utf-8"?>
<worksheet xmlns="http://schemas.openxmlformats.org/spreadsheetml/2006/main" xmlns:r="http://schemas.openxmlformats.org/officeDocument/2006/relationships">
  <sheetPr>
    <tabColor rgb="FF660066"/>
    <pageSetUpPr fitToPage="1"/>
  </sheetPr>
  <dimension ref="A1:Y20"/>
  <sheetViews>
    <sheetView zoomScalePageLayoutView="0" workbookViewId="0" topLeftCell="H1">
      <selection activeCell="Y9" sqref="Y9"/>
    </sheetView>
  </sheetViews>
  <sheetFormatPr defaultColWidth="10.8515625" defaultRowHeight="12.75"/>
  <cols>
    <col min="1" max="1" width="39.28125" style="5" bestFit="1" customWidth="1"/>
    <col min="2" max="24" width="10.8515625" style="5" customWidth="1"/>
    <col min="25" max="25" width="10.8515625" style="546" customWidth="1"/>
    <col min="26" max="16384" width="10.8515625" style="5" customWidth="1"/>
  </cols>
  <sheetData>
    <row r="1" spans="1:25" s="65" customFormat="1" ht="12.75">
      <c r="A1" s="1195" t="s">
        <v>521</v>
      </c>
      <c r="B1" s="1171"/>
      <c r="C1" s="1171"/>
      <c r="D1" s="1171"/>
      <c r="E1" s="1171"/>
      <c r="F1" s="1171"/>
      <c r="G1" s="1171"/>
      <c r="H1" s="1171"/>
      <c r="I1" s="1171"/>
      <c r="J1" s="1171"/>
      <c r="K1" s="1171"/>
      <c r="L1" s="1171"/>
      <c r="M1" s="1171"/>
      <c r="N1" s="1171"/>
      <c r="O1" s="1171"/>
      <c r="P1" s="1171"/>
      <c r="Q1" s="1171"/>
      <c r="R1" s="1171"/>
      <c r="S1" s="1171"/>
      <c r="T1" s="1171"/>
      <c r="U1" s="1171"/>
      <c r="V1" s="1171"/>
      <c r="W1" s="1171"/>
      <c r="X1" s="1171"/>
      <c r="Y1" s="1171"/>
    </row>
    <row r="2" s="65" customFormat="1" ht="12.75">
      <c r="Y2" s="1008"/>
    </row>
    <row r="3" spans="1:25" s="65" customFormat="1" ht="18" customHeight="1">
      <c r="A3" s="1116" t="s">
        <v>529</v>
      </c>
      <c r="B3" s="1116"/>
      <c r="C3" s="1116"/>
      <c r="D3" s="1116"/>
      <c r="E3" s="1116"/>
      <c r="F3" s="1116"/>
      <c r="G3" s="1116"/>
      <c r="H3" s="1116"/>
      <c r="I3" s="1116"/>
      <c r="J3" s="1116"/>
      <c r="K3" s="1116"/>
      <c r="L3" s="1116"/>
      <c r="M3" s="1116"/>
      <c r="N3" s="1116"/>
      <c r="O3" s="1116"/>
      <c r="P3" s="1116"/>
      <c r="Q3" s="1116"/>
      <c r="R3" s="1116"/>
      <c r="S3" s="1116"/>
      <c r="T3" s="1116"/>
      <c r="U3" s="1116"/>
      <c r="V3" s="1116"/>
      <c r="W3" s="1116"/>
      <c r="X3" s="1116"/>
      <c r="Y3" s="1116"/>
    </row>
    <row r="4" spans="1:25" s="65" customFormat="1" ht="18" customHeight="1">
      <c r="A4" s="1117" t="s">
        <v>826</v>
      </c>
      <c r="B4" s="1117"/>
      <c r="C4" s="1117"/>
      <c r="D4" s="1117"/>
      <c r="E4" s="1117"/>
      <c r="F4" s="1117"/>
      <c r="G4" s="1117"/>
      <c r="H4" s="1117"/>
      <c r="I4" s="1117"/>
      <c r="J4" s="1117"/>
      <c r="K4" s="1117"/>
      <c r="L4" s="1117"/>
      <c r="M4" s="1117"/>
      <c r="N4" s="1117"/>
      <c r="O4" s="1117"/>
      <c r="P4" s="1117"/>
      <c r="Q4" s="1117"/>
      <c r="R4" s="1117"/>
      <c r="S4" s="1117"/>
      <c r="T4" s="1117"/>
      <c r="U4" s="1117"/>
      <c r="V4" s="1117"/>
      <c r="W4" s="1117"/>
      <c r="X4" s="1117"/>
      <c r="Y4" s="1117"/>
    </row>
    <row r="5" spans="15:25" s="65" customFormat="1" ht="17.25" customHeight="1">
      <c r="O5" s="5"/>
      <c r="Y5" s="1008"/>
    </row>
    <row r="6" spans="1:25" s="52" customFormat="1" ht="18" customHeight="1">
      <c r="A6" s="229"/>
      <c r="B6" s="224">
        <v>1999</v>
      </c>
      <c r="C6" s="224">
        <v>2000</v>
      </c>
      <c r="D6" s="224">
        <v>2001</v>
      </c>
      <c r="E6" s="224">
        <v>2002</v>
      </c>
      <c r="F6" s="224">
        <v>2003</v>
      </c>
      <c r="G6" s="224">
        <v>2004</v>
      </c>
      <c r="H6" s="224">
        <v>2005</v>
      </c>
      <c r="I6" s="224">
        <v>2006</v>
      </c>
      <c r="J6" s="224">
        <v>2007</v>
      </c>
      <c r="K6" s="224">
        <v>2008</v>
      </c>
      <c r="L6" s="224">
        <v>2009</v>
      </c>
      <c r="M6" s="224">
        <v>2010</v>
      </c>
      <c r="N6" s="224">
        <v>2011</v>
      </c>
      <c r="O6" s="224">
        <v>2012</v>
      </c>
      <c r="P6" s="224">
        <v>2013</v>
      </c>
      <c r="Q6" s="224">
        <v>2014</v>
      </c>
      <c r="R6" s="224">
        <v>2015</v>
      </c>
      <c r="S6" s="224">
        <v>2016</v>
      </c>
      <c r="T6" s="224">
        <v>2017</v>
      </c>
      <c r="U6" s="224">
        <v>2018</v>
      </c>
      <c r="V6" s="224">
        <v>2019</v>
      </c>
      <c r="W6" s="224">
        <v>2021</v>
      </c>
      <c r="X6" s="224">
        <v>2021</v>
      </c>
      <c r="Y6" s="1038">
        <v>2022</v>
      </c>
    </row>
    <row r="7" spans="1:25" s="52" customFormat="1" ht="18" customHeight="1">
      <c r="A7" s="230" t="s">
        <v>698</v>
      </c>
      <c r="B7" s="225"/>
      <c r="C7" s="226"/>
      <c r="D7" s="226"/>
      <c r="E7" s="226"/>
      <c r="F7" s="226"/>
      <c r="G7" s="226"/>
      <c r="H7" s="226"/>
      <c r="I7" s="226"/>
      <c r="J7" s="226"/>
      <c r="K7" s="226"/>
      <c r="L7" s="226"/>
      <c r="M7" s="226"/>
      <c r="N7" s="226"/>
      <c r="O7" s="226"/>
      <c r="P7" s="226"/>
      <c r="Q7" s="226"/>
      <c r="R7" s="226"/>
      <c r="S7" s="226"/>
      <c r="T7" s="226"/>
      <c r="U7" s="226"/>
      <c r="V7" s="226"/>
      <c r="W7" s="226"/>
      <c r="X7" s="226"/>
      <c r="Y7" s="1039">
        <f>Y9-B9</f>
        <v>946452</v>
      </c>
    </row>
    <row r="8" spans="1:25" s="65" customFormat="1" ht="18" customHeight="1">
      <c r="A8" s="230" t="s">
        <v>410</v>
      </c>
      <c r="B8" s="228"/>
      <c r="C8" s="227">
        <f>C9-B9</f>
        <v>25186</v>
      </c>
      <c r="D8" s="227">
        <f aca="true" t="shared" si="0" ref="D8:K8">D9-C9</f>
        <v>46960</v>
      </c>
      <c r="E8" s="227">
        <f t="shared" si="0"/>
        <v>26325</v>
      </c>
      <c r="F8" s="227">
        <f t="shared" si="0"/>
        <v>26001</v>
      </c>
      <c r="G8" s="227">
        <f t="shared" si="0"/>
        <v>46089</v>
      </c>
      <c r="H8" s="227">
        <f t="shared" si="0"/>
        <v>34094</v>
      </c>
      <c r="I8" s="227">
        <f t="shared" si="0"/>
        <v>28791</v>
      </c>
      <c r="J8" s="227">
        <f t="shared" si="0"/>
        <v>79412</v>
      </c>
      <c r="K8" s="227">
        <f t="shared" si="0"/>
        <v>14187</v>
      </c>
      <c r="L8" s="227">
        <f aca="true" t="shared" si="1" ref="L8:Y8">L9-K9</f>
        <v>37740</v>
      </c>
      <c r="M8" s="227">
        <f t="shared" si="1"/>
        <v>42823</v>
      </c>
      <c r="N8" s="227">
        <f t="shared" si="1"/>
        <v>120988</v>
      </c>
      <c r="O8" s="227">
        <f t="shared" si="1"/>
        <v>86434</v>
      </c>
      <c r="P8" s="227">
        <f t="shared" si="1"/>
        <v>63050</v>
      </c>
      <c r="Q8" s="227">
        <f t="shared" si="1"/>
        <v>63511</v>
      </c>
      <c r="R8" s="227">
        <f t="shared" si="1"/>
        <v>60393</v>
      </c>
      <c r="S8" s="227">
        <f t="shared" si="1"/>
        <v>6291</v>
      </c>
      <c r="T8" s="227">
        <f t="shared" si="1"/>
        <v>28011</v>
      </c>
      <c r="U8" s="227">
        <f t="shared" si="1"/>
        <v>31497</v>
      </c>
      <c r="V8" s="227">
        <f t="shared" si="1"/>
        <v>13590</v>
      </c>
      <c r="W8" s="227">
        <f t="shared" si="1"/>
        <v>11234</v>
      </c>
      <c r="X8" s="227">
        <f t="shared" si="1"/>
        <v>34826</v>
      </c>
      <c r="Y8" s="1039">
        <f t="shared" si="1"/>
        <v>19019</v>
      </c>
    </row>
    <row r="9" spans="1:25" s="65" customFormat="1" ht="18" customHeight="1">
      <c r="A9" s="230" t="s">
        <v>411</v>
      </c>
      <c r="B9" s="227">
        <f aca="true" t="shared" si="2" ref="B9:Y9">SUM(B10:B14)</f>
        <v>2007316</v>
      </c>
      <c r="C9" s="227">
        <f t="shared" si="2"/>
        <v>2032502</v>
      </c>
      <c r="D9" s="227">
        <f t="shared" si="2"/>
        <v>2079462</v>
      </c>
      <c r="E9" s="227">
        <f t="shared" si="2"/>
        <v>2105787</v>
      </c>
      <c r="F9" s="227">
        <f t="shared" si="2"/>
        <v>2131788</v>
      </c>
      <c r="G9" s="227">
        <f t="shared" si="2"/>
        <v>2177877</v>
      </c>
      <c r="H9" s="227">
        <f t="shared" si="2"/>
        <v>2211971</v>
      </c>
      <c r="I9" s="227">
        <f t="shared" si="2"/>
        <v>2240762</v>
      </c>
      <c r="J9" s="227">
        <f t="shared" si="2"/>
        <v>2320174</v>
      </c>
      <c r="K9" s="227">
        <f t="shared" si="2"/>
        <v>2334361</v>
      </c>
      <c r="L9" s="227">
        <f t="shared" si="2"/>
        <v>2372101</v>
      </c>
      <c r="M9" s="227">
        <f t="shared" si="2"/>
        <v>2414924</v>
      </c>
      <c r="N9" s="227">
        <f t="shared" si="2"/>
        <v>2535912</v>
      </c>
      <c r="O9" s="227">
        <f t="shared" si="2"/>
        <v>2622346</v>
      </c>
      <c r="P9" s="227">
        <f t="shared" si="2"/>
        <v>2685396</v>
      </c>
      <c r="Q9" s="227">
        <f t="shared" si="2"/>
        <v>2748907</v>
      </c>
      <c r="R9" s="227">
        <f aca="true" t="shared" si="3" ref="R9:W9">SUM(R10:R14)</f>
        <v>2809300</v>
      </c>
      <c r="S9" s="227">
        <f t="shared" si="3"/>
        <v>2815591</v>
      </c>
      <c r="T9" s="227">
        <f t="shared" si="3"/>
        <v>2843602</v>
      </c>
      <c r="U9" s="227">
        <f t="shared" si="3"/>
        <v>2875099</v>
      </c>
      <c r="V9" s="227">
        <f t="shared" si="3"/>
        <v>2888689</v>
      </c>
      <c r="W9" s="227">
        <f t="shared" si="3"/>
        <v>2899923</v>
      </c>
      <c r="X9" s="227">
        <f>SUM(X10:X14)</f>
        <v>2934749</v>
      </c>
      <c r="Y9" s="1039">
        <f t="shared" si="2"/>
        <v>2953768</v>
      </c>
    </row>
    <row r="10" spans="1:25" s="53" customFormat="1" ht="18" customHeight="1">
      <c r="A10" s="231" t="s">
        <v>210</v>
      </c>
      <c r="B10" s="170">
        <v>1357437</v>
      </c>
      <c r="C10" s="170">
        <v>1362350</v>
      </c>
      <c r="D10" s="170">
        <v>1399785</v>
      </c>
      <c r="E10" s="170">
        <v>1406414</v>
      </c>
      <c r="F10" s="170">
        <v>1417027</v>
      </c>
      <c r="G10" s="170">
        <v>1443468</v>
      </c>
      <c r="H10" s="170">
        <v>1455030</v>
      </c>
      <c r="I10" s="170">
        <v>1455661</v>
      </c>
      <c r="J10" s="170">
        <v>1477507</v>
      </c>
      <c r="K10" s="170">
        <v>1491234</v>
      </c>
      <c r="L10" s="170">
        <v>1515660</v>
      </c>
      <c r="M10" s="170">
        <v>1542857</v>
      </c>
      <c r="N10" s="170">
        <v>1606539</v>
      </c>
      <c r="O10" s="170">
        <v>1667632</v>
      </c>
      <c r="P10" s="170">
        <v>1693737</v>
      </c>
      <c r="Q10" s="170">
        <v>1735998</v>
      </c>
      <c r="R10" s="181">
        <v>1779603</v>
      </c>
      <c r="S10" s="181">
        <v>1784255</v>
      </c>
      <c r="T10" s="181">
        <v>1812460</v>
      </c>
      <c r="U10" s="181">
        <v>1827750</v>
      </c>
      <c r="V10" s="181">
        <v>1846043</v>
      </c>
      <c r="W10" s="181">
        <v>1854409</v>
      </c>
      <c r="X10" s="181">
        <v>1862254</v>
      </c>
      <c r="Y10" s="1040">
        <v>1867271</v>
      </c>
    </row>
    <row r="11" spans="1:25" s="53" customFormat="1" ht="18" customHeight="1">
      <c r="A11" s="231" t="s">
        <v>412</v>
      </c>
      <c r="B11" s="170">
        <v>363279</v>
      </c>
      <c r="C11" s="170">
        <v>383055</v>
      </c>
      <c r="D11" s="170">
        <v>391955</v>
      </c>
      <c r="E11" s="170">
        <v>410153</v>
      </c>
      <c r="F11" s="170">
        <v>421711</v>
      </c>
      <c r="G11" s="170">
        <v>435029</v>
      </c>
      <c r="H11" s="170">
        <v>449248</v>
      </c>
      <c r="I11" s="170">
        <v>468667</v>
      </c>
      <c r="J11" s="170">
        <v>487300</v>
      </c>
      <c r="K11" s="170">
        <v>487725</v>
      </c>
      <c r="L11" s="170">
        <v>495475</v>
      </c>
      <c r="M11" s="170">
        <v>500193</v>
      </c>
      <c r="N11" s="170">
        <v>522762</v>
      </c>
      <c r="O11" s="170">
        <v>537783</v>
      </c>
      <c r="P11" s="170">
        <v>555413</v>
      </c>
      <c r="Q11" s="170">
        <v>566215</v>
      </c>
      <c r="R11" s="181">
        <v>581938</v>
      </c>
      <c r="S11" s="181">
        <v>580274</v>
      </c>
      <c r="T11" s="181">
        <v>572015</v>
      </c>
      <c r="U11" s="181">
        <v>576587</v>
      </c>
      <c r="V11" s="181">
        <v>576699</v>
      </c>
      <c r="W11" s="181">
        <v>579082</v>
      </c>
      <c r="X11" s="181">
        <v>579139</v>
      </c>
      <c r="Y11" s="1040">
        <v>583750</v>
      </c>
    </row>
    <row r="12" spans="1:25" s="53" customFormat="1" ht="18" customHeight="1">
      <c r="A12" s="231" t="s">
        <v>413</v>
      </c>
      <c r="B12" s="170">
        <v>215216</v>
      </c>
      <c r="C12" s="170">
        <v>215713</v>
      </c>
      <c r="D12" s="170">
        <v>216338</v>
      </c>
      <c r="E12" s="170">
        <v>217836</v>
      </c>
      <c r="F12" s="170">
        <v>221548</v>
      </c>
      <c r="G12" s="170">
        <v>225620</v>
      </c>
      <c r="H12" s="170">
        <v>230880</v>
      </c>
      <c r="I12" s="170">
        <v>239621</v>
      </c>
      <c r="J12" s="170">
        <v>274557</v>
      </c>
      <c r="K12" s="170">
        <v>274592</v>
      </c>
      <c r="L12" s="170">
        <v>280156</v>
      </c>
      <c r="M12" s="170">
        <v>289401</v>
      </c>
      <c r="N12" s="170">
        <v>314918</v>
      </c>
      <c r="O12" s="170">
        <v>323762</v>
      </c>
      <c r="P12" s="170">
        <v>325841</v>
      </c>
      <c r="Q12" s="170">
        <v>326050</v>
      </c>
      <c r="R12" s="181">
        <v>326644</v>
      </c>
      <c r="S12" s="181">
        <v>336381</v>
      </c>
      <c r="T12" s="181">
        <v>350089</v>
      </c>
      <c r="U12" s="181">
        <v>357364</v>
      </c>
      <c r="V12" s="181">
        <v>342904</v>
      </c>
      <c r="W12" s="181">
        <v>343389</v>
      </c>
      <c r="X12" s="181">
        <v>369035</v>
      </c>
      <c r="Y12" s="1040">
        <v>377470</v>
      </c>
    </row>
    <row r="13" spans="1:25" s="53" customFormat="1" ht="18" customHeight="1">
      <c r="A13" s="231" t="s">
        <v>414</v>
      </c>
      <c r="B13" s="170">
        <v>59434</v>
      </c>
      <c r="C13" s="170">
        <v>59434</v>
      </c>
      <c r="D13" s="170">
        <v>59434</v>
      </c>
      <c r="E13" s="170">
        <v>59434</v>
      </c>
      <c r="F13" s="170">
        <v>60584</v>
      </c>
      <c r="G13" s="170">
        <v>63544</v>
      </c>
      <c r="H13" s="170">
        <v>66705</v>
      </c>
      <c r="I13" s="170">
        <v>66705</v>
      </c>
      <c r="J13" s="170">
        <v>69738</v>
      </c>
      <c r="K13" s="170">
        <v>69738</v>
      </c>
      <c r="L13" s="170">
        <v>69738</v>
      </c>
      <c r="M13" s="170">
        <v>71401</v>
      </c>
      <c r="N13" s="170">
        <v>74184</v>
      </c>
      <c r="O13" s="170">
        <v>75660</v>
      </c>
      <c r="P13" s="170">
        <v>92896</v>
      </c>
      <c r="Q13" s="170">
        <v>103135</v>
      </c>
      <c r="R13" s="181">
        <v>103606</v>
      </c>
      <c r="S13" s="181">
        <v>96726</v>
      </c>
      <c r="T13" s="181">
        <v>94948</v>
      </c>
      <c r="U13" s="181">
        <v>99063</v>
      </c>
      <c r="V13" s="181">
        <v>100972</v>
      </c>
      <c r="W13" s="181">
        <v>100972</v>
      </c>
      <c r="X13" s="181">
        <v>102250</v>
      </c>
      <c r="Y13" s="1040">
        <v>103206</v>
      </c>
    </row>
    <row r="14" spans="1:25" s="53" customFormat="1" ht="18" customHeight="1">
      <c r="A14" s="232" t="s">
        <v>531</v>
      </c>
      <c r="B14" s="170">
        <v>11950</v>
      </c>
      <c r="C14" s="170">
        <v>11950</v>
      </c>
      <c r="D14" s="170">
        <v>11950</v>
      </c>
      <c r="E14" s="170">
        <v>11950</v>
      </c>
      <c r="F14" s="170">
        <v>10918</v>
      </c>
      <c r="G14" s="170">
        <v>10216</v>
      </c>
      <c r="H14" s="170">
        <v>10108</v>
      </c>
      <c r="I14" s="170">
        <v>10108</v>
      </c>
      <c r="J14" s="170">
        <v>11072</v>
      </c>
      <c r="K14" s="170">
        <v>11072</v>
      </c>
      <c r="L14" s="170">
        <v>11072</v>
      </c>
      <c r="M14" s="170">
        <v>11072</v>
      </c>
      <c r="N14" s="170">
        <v>17509</v>
      </c>
      <c r="O14" s="170">
        <v>17509</v>
      </c>
      <c r="P14" s="170">
        <v>17509</v>
      </c>
      <c r="Q14" s="170">
        <v>17509</v>
      </c>
      <c r="R14" s="181">
        <v>17509</v>
      </c>
      <c r="S14" s="181">
        <v>17955</v>
      </c>
      <c r="T14" s="181">
        <v>14090</v>
      </c>
      <c r="U14" s="181">
        <v>14335</v>
      </c>
      <c r="V14" s="181">
        <v>22071</v>
      </c>
      <c r="W14" s="181">
        <v>22071</v>
      </c>
      <c r="X14" s="181">
        <v>22071</v>
      </c>
      <c r="Y14" s="1040">
        <v>22071</v>
      </c>
    </row>
    <row r="15" spans="1:25" s="53" customFormat="1" ht="12.75" customHeight="1">
      <c r="A15" s="6" t="s">
        <v>333</v>
      </c>
      <c r="B15" s="13"/>
      <c r="C15" s="5"/>
      <c r="D15" s="13"/>
      <c r="E15" s="35"/>
      <c r="F15" s="35"/>
      <c r="G15" s="35"/>
      <c r="H15" s="35"/>
      <c r="I15" s="35"/>
      <c r="J15" s="63"/>
      <c r="K15" s="13"/>
      <c r="L15" s="13"/>
      <c r="M15" s="13"/>
      <c r="N15" s="13"/>
      <c r="O15" s="16"/>
      <c r="Y15" s="1022"/>
    </row>
    <row r="16" spans="1:25" s="53" customFormat="1" ht="12" customHeight="1">
      <c r="A16" s="55" t="s">
        <v>530</v>
      </c>
      <c r="C16" s="65"/>
      <c r="E16" s="54"/>
      <c r="F16" s="54"/>
      <c r="G16" s="54"/>
      <c r="H16" s="54"/>
      <c r="I16" s="54"/>
      <c r="J16" s="56"/>
      <c r="O16" s="141"/>
      <c r="Y16" s="1022"/>
    </row>
    <row r="17" spans="1:25" s="61" customFormat="1" ht="12.75" customHeight="1">
      <c r="A17" s="57"/>
      <c r="B17" s="58"/>
      <c r="C17" s="58"/>
      <c r="D17" s="58"/>
      <c r="E17" s="58"/>
      <c r="F17" s="58"/>
      <c r="G17" s="59"/>
      <c r="H17" s="60"/>
      <c r="I17" s="60"/>
      <c r="J17" s="60"/>
      <c r="K17" s="60"/>
      <c r="L17" s="60"/>
      <c r="R17" s="52"/>
      <c r="S17" s="52"/>
      <c r="T17" s="52"/>
      <c r="U17" s="52"/>
      <c r="V17" s="52"/>
      <c r="W17" s="52"/>
      <c r="X17" s="52"/>
      <c r="Y17" s="1041"/>
    </row>
    <row r="18" spans="1:25" s="65" customFormat="1" ht="12.75">
      <c r="A18" s="53" t="s">
        <v>415</v>
      </c>
      <c r="B18" s="53"/>
      <c r="Y18" s="1008"/>
    </row>
    <row r="19" spans="1:25" s="62" customFormat="1" ht="12.75" customHeight="1">
      <c r="A19" s="1118" t="s">
        <v>780</v>
      </c>
      <c r="B19" s="1118"/>
      <c r="C19" s="1118"/>
      <c r="D19" s="1118"/>
      <c r="E19" s="1118"/>
      <c r="F19" s="1118"/>
      <c r="G19" s="1118"/>
      <c r="H19" s="1118"/>
      <c r="I19" s="1118"/>
      <c r="J19" s="1118"/>
      <c r="K19" s="1118"/>
      <c r="L19" s="1118"/>
      <c r="M19" s="1118"/>
      <c r="N19" s="1118"/>
      <c r="O19" s="1118"/>
      <c r="P19" s="1118"/>
      <c r="Q19" s="1118"/>
      <c r="R19" s="1118"/>
      <c r="S19" s="1118"/>
      <c r="T19" s="1118"/>
      <c r="U19" s="1118"/>
      <c r="V19" s="1118"/>
      <c r="W19" s="1118"/>
      <c r="X19" s="1118"/>
      <c r="Y19" s="1118"/>
    </row>
    <row r="20" spans="1:25" s="62" customFormat="1" ht="12.75" customHeight="1">
      <c r="A20" s="1118" t="s">
        <v>734</v>
      </c>
      <c r="B20" s="1118"/>
      <c r="C20" s="1118"/>
      <c r="D20" s="1118"/>
      <c r="E20" s="1118"/>
      <c r="F20" s="1118"/>
      <c r="G20" s="1118"/>
      <c r="H20" s="1118"/>
      <c r="I20" s="1118"/>
      <c r="J20" s="1118"/>
      <c r="K20" s="1118"/>
      <c r="L20" s="1118"/>
      <c r="M20" s="1118"/>
      <c r="N20" s="1118"/>
      <c r="O20" s="1118"/>
      <c r="P20" s="1118"/>
      <c r="Q20" s="1118"/>
      <c r="R20" s="1118"/>
      <c r="S20" s="1118"/>
      <c r="T20" s="1118"/>
      <c r="U20" s="1118"/>
      <c r="V20" s="1118"/>
      <c r="W20" s="1118"/>
      <c r="X20" s="1118"/>
      <c r="Y20" s="1118"/>
    </row>
  </sheetData>
  <sheetProtection/>
  <mergeCells count="5">
    <mergeCell ref="A1:Y1"/>
    <mergeCell ref="A3:Y3"/>
    <mergeCell ref="A4:Y4"/>
    <mergeCell ref="A19:Y19"/>
    <mergeCell ref="A20:Y20"/>
  </mergeCells>
  <printOptions horizontalCentered="1"/>
  <pageMargins left="0.7874015748031497" right="0.7874015748031497" top="0.984251968503937" bottom="0.984251968503937" header="0" footer="0"/>
  <pageSetup fitToHeight="1" fitToWidth="1" horizontalDpi="600" verticalDpi="600" orientation="landscape" scale="44"/>
</worksheet>
</file>

<file path=xl/worksheets/sheet42.xml><?xml version="1.0" encoding="utf-8"?>
<worksheet xmlns="http://schemas.openxmlformats.org/spreadsheetml/2006/main" xmlns:r="http://schemas.openxmlformats.org/officeDocument/2006/relationships">
  <sheetPr>
    <tabColor theme="9" tint="-0.24997000396251678"/>
    <pageSetUpPr fitToPage="1"/>
  </sheetPr>
  <dimension ref="A1:Z37"/>
  <sheetViews>
    <sheetView zoomScalePageLayoutView="0" workbookViewId="0" topLeftCell="A1">
      <selection activeCell="L19" sqref="L19"/>
    </sheetView>
  </sheetViews>
  <sheetFormatPr defaultColWidth="10.28125" defaultRowHeight="12.75"/>
  <cols>
    <col min="1" max="1" width="25.8515625" style="896" customWidth="1"/>
    <col min="2" max="24" width="14.8515625" style="896" customWidth="1"/>
    <col min="25" max="25" width="14.8515625" style="1055" customWidth="1"/>
    <col min="26" max="26" width="14.8515625" style="1000" customWidth="1"/>
    <col min="27" max="16384" width="10.28125" style="896" customWidth="1"/>
  </cols>
  <sheetData>
    <row r="1" spans="1:26" ht="12.75">
      <c r="A1" s="1171" t="s">
        <v>594</v>
      </c>
      <c r="B1" s="1171"/>
      <c r="C1" s="1171"/>
      <c r="D1" s="1171"/>
      <c r="E1" s="1171"/>
      <c r="F1" s="1171"/>
      <c r="G1" s="1171"/>
      <c r="H1" s="1171"/>
      <c r="I1" s="1171"/>
      <c r="J1" s="1171"/>
      <c r="K1" s="1171"/>
      <c r="L1" s="1171"/>
      <c r="M1" s="1171"/>
      <c r="N1" s="1171"/>
      <c r="O1" s="1171"/>
      <c r="P1" s="1171"/>
      <c r="Q1" s="1171"/>
      <c r="R1" s="1171"/>
      <c r="S1" s="1171"/>
      <c r="T1" s="1171"/>
      <c r="U1" s="1171"/>
      <c r="V1" s="1171"/>
      <c r="W1" s="1171"/>
      <c r="X1" s="1171"/>
      <c r="Y1" s="1171"/>
      <c r="Z1" s="1182"/>
    </row>
    <row r="3" spans="1:26" s="999" customFormat="1" ht="18" customHeight="1">
      <c r="A3" s="1116" t="s">
        <v>29</v>
      </c>
      <c r="B3" s="1116"/>
      <c r="C3" s="1116"/>
      <c r="D3" s="1116"/>
      <c r="E3" s="1116"/>
      <c r="F3" s="1116"/>
      <c r="G3" s="1116"/>
      <c r="H3" s="1116"/>
      <c r="I3" s="1116"/>
      <c r="J3" s="1116"/>
      <c r="K3" s="1116"/>
      <c r="L3" s="1123"/>
      <c r="M3" s="1123"/>
      <c r="N3" s="1123"/>
      <c r="O3" s="1123"/>
      <c r="P3" s="1123"/>
      <c r="Q3" s="1123"/>
      <c r="R3" s="1123"/>
      <c r="S3" s="1123"/>
      <c r="T3" s="1123"/>
      <c r="U3" s="1123"/>
      <c r="V3" s="1123"/>
      <c r="W3" s="1123"/>
      <c r="X3" s="1123"/>
      <c r="Y3" s="1123"/>
      <c r="Z3" s="1182"/>
    </row>
    <row r="4" spans="1:26" s="999" customFormat="1" ht="18" customHeight="1">
      <c r="A4" s="1117" t="s">
        <v>851</v>
      </c>
      <c r="B4" s="1117"/>
      <c r="C4" s="1117"/>
      <c r="D4" s="1117"/>
      <c r="E4" s="1117"/>
      <c r="F4" s="1117"/>
      <c r="G4" s="1117"/>
      <c r="H4" s="1117"/>
      <c r="I4" s="1117"/>
      <c r="J4" s="1117"/>
      <c r="K4" s="1117"/>
      <c r="L4" s="1125"/>
      <c r="M4" s="1125"/>
      <c r="N4" s="1125"/>
      <c r="O4" s="1125"/>
      <c r="P4" s="1125"/>
      <c r="Q4" s="1125"/>
      <c r="R4" s="1125"/>
      <c r="S4" s="1125"/>
      <c r="T4" s="1125"/>
      <c r="U4" s="1125"/>
      <c r="V4" s="1125"/>
      <c r="W4" s="1125"/>
      <c r="X4" s="1125"/>
      <c r="Y4" s="1125"/>
      <c r="Z4" s="1196"/>
    </row>
    <row r="5" spans="1:26" s="999" customFormat="1" ht="18" customHeight="1">
      <c r="A5" s="1197" t="s">
        <v>416</v>
      </c>
      <c r="B5" s="1197"/>
      <c r="C5" s="1197"/>
      <c r="D5" s="1197"/>
      <c r="E5" s="1197"/>
      <c r="F5" s="1197"/>
      <c r="G5" s="1197"/>
      <c r="H5" s="1197"/>
      <c r="I5" s="1197"/>
      <c r="J5" s="1197"/>
      <c r="K5" s="1197"/>
      <c r="L5" s="1123"/>
      <c r="M5" s="1123"/>
      <c r="N5" s="1123"/>
      <c r="O5" s="1123"/>
      <c r="P5" s="1123"/>
      <c r="Q5" s="1123"/>
      <c r="R5" s="1123"/>
      <c r="S5" s="1123"/>
      <c r="T5" s="1123"/>
      <c r="U5" s="1123"/>
      <c r="V5" s="1123"/>
      <c r="W5" s="1123"/>
      <c r="X5" s="1123"/>
      <c r="Y5" s="1123"/>
      <c r="Z5" s="1182"/>
    </row>
    <row r="6" spans="1:12" ht="18" customHeight="1">
      <c r="A6" s="52"/>
      <c r="B6" s="65"/>
      <c r="C6" s="65"/>
      <c r="D6" s="65"/>
      <c r="E6" s="65"/>
      <c r="F6" s="65"/>
      <c r="G6" s="65"/>
      <c r="H6" s="65"/>
      <c r="I6" s="65"/>
      <c r="J6" s="65"/>
      <c r="K6" s="65"/>
      <c r="L6" s="65"/>
    </row>
    <row r="7" spans="1:26" s="1001" customFormat="1" ht="18" customHeight="1">
      <c r="A7" s="521"/>
      <c r="B7" s="509">
        <v>2000</v>
      </c>
      <c r="C7" s="509">
        <v>2001</v>
      </c>
      <c r="D7" s="509">
        <v>2002</v>
      </c>
      <c r="E7" s="509">
        <v>2003</v>
      </c>
      <c r="F7" s="509">
        <v>2004</v>
      </c>
      <c r="G7" s="509">
        <v>2005</v>
      </c>
      <c r="H7" s="509">
        <v>2006</v>
      </c>
      <c r="I7" s="509">
        <v>2007</v>
      </c>
      <c r="J7" s="509">
        <v>2008</v>
      </c>
      <c r="K7" s="509">
        <v>2009</v>
      </c>
      <c r="L7" s="509">
        <v>2010</v>
      </c>
      <c r="M7" s="509">
        <v>2011</v>
      </c>
      <c r="N7" s="509">
        <v>2012</v>
      </c>
      <c r="O7" s="509">
        <v>2013</v>
      </c>
      <c r="P7" s="509">
        <v>2014</v>
      </c>
      <c r="Q7" s="509">
        <v>2015</v>
      </c>
      <c r="R7" s="509">
        <v>2016</v>
      </c>
      <c r="S7" s="509">
        <v>2017</v>
      </c>
      <c r="T7" s="509">
        <v>2018</v>
      </c>
      <c r="U7" s="509">
        <v>2019</v>
      </c>
      <c r="V7" s="509">
        <v>2020</v>
      </c>
      <c r="W7" s="509">
        <v>2021</v>
      </c>
      <c r="X7" s="509">
        <v>2022</v>
      </c>
      <c r="Y7" s="509">
        <v>2023</v>
      </c>
      <c r="Z7" s="802">
        <v>2024</v>
      </c>
    </row>
    <row r="8" spans="1:26" s="1001" customFormat="1" ht="18" customHeight="1">
      <c r="A8" s="510" t="s">
        <v>61</v>
      </c>
      <c r="B8" s="511">
        <f aca="true" t="shared" si="0" ref="B8:I8">+B9+B12+B13+B14</f>
        <v>10686631573</v>
      </c>
      <c r="C8" s="511">
        <f t="shared" si="0"/>
        <v>12826040031</v>
      </c>
      <c r="D8" s="511">
        <f t="shared" si="0"/>
        <v>14106594841</v>
      </c>
      <c r="E8" s="511">
        <f t="shared" si="0"/>
        <v>15374067639</v>
      </c>
      <c r="F8" s="511">
        <f t="shared" si="0"/>
        <v>16456140562</v>
      </c>
      <c r="G8" s="511">
        <f t="shared" si="0"/>
        <v>18031947178</v>
      </c>
      <c r="H8" s="511">
        <f t="shared" si="0"/>
        <v>19190124992</v>
      </c>
      <c r="I8" s="511">
        <f t="shared" si="0"/>
        <v>19961808003</v>
      </c>
      <c r="J8" s="511">
        <f>+J9+J12+J13+J14</f>
        <v>22223490070</v>
      </c>
      <c r="K8" s="511">
        <f>+K9+K12+K13+K14</f>
        <v>24337073934</v>
      </c>
      <c r="L8" s="511">
        <f>+L9+L12+L13+L14</f>
        <v>27065852148</v>
      </c>
      <c r="M8" s="511">
        <f aca="true" t="shared" si="1" ref="M8:X8">SUM(M9,M12:M14)</f>
        <v>29223146316</v>
      </c>
      <c r="N8" s="511">
        <f t="shared" si="1"/>
        <v>31653775147</v>
      </c>
      <c r="O8" s="511">
        <f t="shared" si="1"/>
        <v>33719513991</v>
      </c>
      <c r="P8" s="511">
        <f t="shared" si="1"/>
        <v>35584146143</v>
      </c>
      <c r="Q8" s="511">
        <f t="shared" si="1"/>
        <v>37755686350</v>
      </c>
      <c r="R8" s="511">
        <f t="shared" si="1"/>
        <v>39381976365</v>
      </c>
      <c r="S8" s="511">
        <f t="shared" si="1"/>
        <v>40929422558</v>
      </c>
      <c r="T8" s="511">
        <f t="shared" si="1"/>
        <v>43195749455</v>
      </c>
      <c r="U8" s="511">
        <f t="shared" si="1"/>
        <v>44942499166</v>
      </c>
      <c r="V8" s="511">
        <f t="shared" si="1"/>
        <v>46629744427</v>
      </c>
      <c r="W8" s="511">
        <f t="shared" si="1"/>
        <v>46644845669</v>
      </c>
      <c r="X8" s="511">
        <f t="shared" si="1"/>
        <v>48802369865</v>
      </c>
      <c r="Y8" s="511">
        <f>SUM(Y9,Y12:Y14)</f>
        <v>52728127711</v>
      </c>
      <c r="Z8" s="803">
        <f>SUM(Z9,Z12:Z14)</f>
        <v>55959055956</v>
      </c>
    </row>
    <row r="9" spans="1:26" ht="18" customHeight="1">
      <c r="A9" s="1002" t="s">
        <v>210</v>
      </c>
      <c r="B9" s="234">
        <f aca="true" t="shared" si="2" ref="B9:I9">+B10+B11</f>
        <v>6435152351</v>
      </c>
      <c r="C9" s="234">
        <f t="shared" si="2"/>
        <v>7724587223</v>
      </c>
      <c r="D9" s="234">
        <f t="shared" si="2"/>
        <v>8468019430</v>
      </c>
      <c r="E9" s="234">
        <f t="shared" si="2"/>
        <v>9225176256</v>
      </c>
      <c r="F9" s="234">
        <f t="shared" si="2"/>
        <v>9835832236</v>
      </c>
      <c r="G9" s="234">
        <f t="shared" si="2"/>
        <v>10890995016</v>
      </c>
      <c r="H9" s="234">
        <f t="shared" si="2"/>
        <v>11670480353</v>
      </c>
      <c r="I9" s="234">
        <f t="shared" si="2"/>
        <v>12159540033</v>
      </c>
      <c r="J9" s="234">
        <f>+J10+J11</f>
        <v>13706337880</v>
      </c>
      <c r="K9" s="234">
        <f>+K10+K11</f>
        <v>14785448244</v>
      </c>
      <c r="L9" s="234">
        <f>+L10+L11</f>
        <v>16168076761</v>
      </c>
      <c r="M9" s="234">
        <f>+M10+M11</f>
        <v>17679847099</v>
      </c>
      <c r="N9" s="234">
        <f>+N10+N11</f>
        <v>19221335865</v>
      </c>
      <c r="O9" s="234">
        <f aca="true" t="shared" si="3" ref="O9:U9">+O10+O11</f>
        <v>20973542051</v>
      </c>
      <c r="P9" s="234">
        <f t="shared" si="3"/>
        <v>21964531804</v>
      </c>
      <c r="Q9" s="234">
        <f t="shared" si="3"/>
        <v>23006726623</v>
      </c>
      <c r="R9" s="234">
        <f t="shared" si="3"/>
        <v>23980392594</v>
      </c>
      <c r="S9" s="234">
        <f t="shared" si="3"/>
        <v>24949653434</v>
      </c>
      <c r="T9" s="234">
        <f t="shared" si="3"/>
        <v>26342634941</v>
      </c>
      <c r="U9" s="234">
        <f t="shared" si="3"/>
        <v>27490078470</v>
      </c>
      <c r="V9" s="234">
        <f>+V10+V11</f>
        <v>28572833513</v>
      </c>
      <c r="W9" s="234">
        <f>+W10+W11</f>
        <v>28314035094</v>
      </c>
      <c r="X9" s="234">
        <f>+X10+X11</f>
        <v>29774904641</v>
      </c>
      <c r="Y9" s="234">
        <f>+Y10+Y11</f>
        <v>32438265878</v>
      </c>
      <c r="Z9" s="894">
        <f>+Z10+Z11</f>
        <v>34531509163</v>
      </c>
    </row>
    <row r="10" spans="1:26" ht="18" customHeight="1">
      <c r="A10" s="1003" t="s">
        <v>803</v>
      </c>
      <c r="B10" s="374">
        <v>4945009969</v>
      </c>
      <c r="C10" s="374">
        <v>5940485514</v>
      </c>
      <c r="D10" s="374">
        <v>6470615681</v>
      </c>
      <c r="E10" s="374">
        <v>7035170908</v>
      </c>
      <c r="F10" s="374">
        <v>7496737023</v>
      </c>
      <c r="G10" s="374">
        <v>8411187965</v>
      </c>
      <c r="H10" s="374">
        <v>9062041018</v>
      </c>
      <c r="I10" s="374">
        <v>9495494821</v>
      </c>
      <c r="J10" s="374">
        <v>10718358268</v>
      </c>
      <c r="K10" s="374">
        <v>11534760331</v>
      </c>
      <c r="L10" s="374">
        <v>12570742860</v>
      </c>
      <c r="M10" s="374">
        <v>13791036966</v>
      </c>
      <c r="N10" s="529">
        <v>15003781205</v>
      </c>
      <c r="O10" s="529">
        <v>16263660829</v>
      </c>
      <c r="P10" s="529">
        <v>17045191198</v>
      </c>
      <c r="Q10" s="529">
        <v>17927008266</v>
      </c>
      <c r="R10" s="374">
        <v>18686753207</v>
      </c>
      <c r="S10" s="374">
        <v>19467116353</v>
      </c>
      <c r="T10" s="374">
        <v>20511503299</v>
      </c>
      <c r="U10" s="374">
        <v>21433863014</v>
      </c>
      <c r="V10" s="374">
        <v>22289611888</v>
      </c>
      <c r="W10" s="374">
        <v>22068867296</v>
      </c>
      <c r="X10" s="374">
        <v>23295231499</v>
      </c>
      <c r="Y10" s="1064">
        <v>25443672230</v>
      </c>
      <c r="Z10" s="804">
        <v>27139457946</v>
      </c>
    </row>
    <row r="11" spans="1:26" ht="18" customHeight="1">
      <c r="A11" s="1003" t="s">
        <v>804</v>
      </c>
      <c r="B11" s="374">
        <v>1490142382</v>
      </c>
      <c r="C11" s="374">
        <v>1784101709</v>
      </c>
      <c r="D11" s="374">
        <v>1997403749</v>
      </c>
      <c r="E11" s="374">
        <v>2190005348</v>
      </c>
      <c r="F11" s="374">
        <v>2339095213</v>
      </c>
      <c r="G11" s="374">
        <v>2479807051</v>
      </c>
      <c r="H11" s="374">
        <v>2608439335</v>
      </c>
      <c r="I11" s="374">
        <v>2664045212</v>
      </c>
      <c r="J11" s="374">
        <v>2987979612</v>
      </c>
      <c r="K11" s="374">
        <v>3250687913</v>
      </c>
      <c r="L11" s="374">
        <v>3597333901</v>
      </c>
      <c r="M11" s="374">
        <v>3888810133</v>
      </c>
      <c r="N11" s="374">
        <v>4217554660</v>
      </c>
      <c r="O11" s="374">
        <v>4709881222</v>
      </c>
      <c r="P11" s="374">
        <v>4919340606</v>
      </c>
      <c r="Q11" s="374">
        <v>5079718357</v>
      </c>
      <c r="R11" s="374">
        <v>5293639387</v>
      </c>
      <c r="S11" s="374">
        <v>5482537081</v>
      </c>
      <c r="T11" s="374">
        <v>5831131642</v>
      </c>
      <c r="U11" s="374">
        <v>6056215456</v>
      </c>
      <c r="V11" s="374">
        <v>6283221625</v>
      </c>
      <c r="W11" s="374">
        <v>6245167798</v>
      </c>
      <c r="X11" s="374">
        <v>6479673142</v>
      </c>
      <c r="Y11" s="1064">
        <v>6994593648</v>
      </c>
      <c r="Z11" s="804">
        <v>7392051217</v>
      </c>
    </row>
    <row r="12" spans="1:26" ht="18" customHeight="1">
      <c r="A12" s="1002" t="s">
        <v>412</v>
      </c>
      <c r="B12" s="234">
        <v>2567822326</v>
      </c>
      <c r="C12" s="234">
        <v>3152771597</v>
      </c>
      <c r="D12" s="234">
        <v>3604907916</v>
      </c>
      <c r="E12" s="234">
        <v>3888180456</v>
      </c>
      <c r="F12" s="234">
        <v>4155287017</v>
      </c>
      <c r="G12" s="234">
        <v>4647643289</v>
      </c>
      <c r="H12" s="234">
        <v>4852707426</v>
      </c>
      <c r="I12" s="234">
        <v>5063831360</v>
      </c>
      <c r="J12" s="234">
        <v>5626005751</v>
      </c>
      <c r="K12" s="234">
        <v>6182699524</v>
      </c>
      <c r="L12" s="234">
        <v>7256642076</v>
      </c>
      <c r="M12" s="234">
        <v>7642065810</v>
      </c>
      <c r="N12" s="234">
        <v>8233469570</v>
      </c>
      <c r="O12" s="234">
        <v>8478008145</v>
      </c>
      <c r="P12" s="234">
        <v>9061644867</v>
      </c>
      <c r="Q12" s="234">
        <v>9681786082</v>
      </c>
      <c r="R12" s="234">
        <v>10184981741</v>
      </c>
      <c r="S12" s="234">
        <v>10655332663</v>
      </c>
      <c r="T12" s="234">
        <v>11364791331</v>
      </c>
      <c r="U12" s="234">
        <v>11797364059</v>
      </c>
      <c r="V12" s="234">
        <v>12242498656</v>
      </c>
      <c r="W12" s="234">
        <v>12592799472</v>
      </c>
      <c r="X12" s="234">
        <v>13105333751</v>
      </c>
      <c r="Y12" s="234">
        <v>13906962510</v>
      </c>
      <c r="Z12" s="894">
        <v>14640689626</v>
      </c>
    </row>
    <row r="13" spans="1:26" ht="18" customHeight="1">
      <c r="A13" s="1002" t="s">
        <v>805</v>
      </c>
      <c r="B13" s="234">
        <v>927976677</v>
      </c>
      <c r="C13" s="234">
        <v>1078568242</v>
      </c>
      <c r="D13" s="234">
        <v>1073233095</v>
      </c>
      <c r="E13" s="234">
        <v>1213941807</v>
      </c>
      <c r="F13" s="234">
        <v>1303826758</v>
      </c>
      <c r="G13" s="234">
        <v>1423623432</v>
      </c>
      <c r="H13" s="234">
        <v>1607263147</v>
      </c>
      <c r="I13" s="234">
        <v>1652034350</v>
      </c>
      <c r="J13" s="234">
        <v>1736620839</v>
      </c>
      <c r="K13" s="234">
        <v>2121740445</v>
      </c>
      <c r="L13" s="234">
        <v>2280491831</v>
      </c>
      <c r="M13" s="234">
        <v>2423188402</v>
      </c>
      <c r="N13" s="234">
        <v>2602120499</v>
      </c>
      <c r="O13" s="234">
        <v>2572529017</v>
      </c>
      <c r="P13" s="234">
        <v>2763110824</v>
      </c>
      <c r="Q13" s="234">
        <v>3048866976</v>
      </c>
      <c r="R13" s="234">
        <v>3145083746</v>
      </c>
      <c r="S13" s="234">
        <v>3308609018</v>
      </c>
      <c r="T13" s="234">
        <v>3505590121</v>
      </c>
      <c r="U13" s="234">
        <v>3621449733</v>
      </c>
      <c r="V13" s="234">
        <v>3728810454</v>
      </c>
      <c r="W13" s="234">
        <v>3599130706</v>
      </c>
      <c r="X13" s="234">
        <v>3666528943</v>
      </c>
      <c r="Y13" s="234">
        <v>3978483509</v>
      </c>
      <c r="Z13" s="894">
        <v>4242588731</v>
      </c>
    </row>
    <row r="14" spans="1:26" ht="18" customHeight="1">
      <c r="A14" s="1002" t="s">
        <v>806</v>
      </c>
      <c r="B14" s="234">
        <v>755680219</v>
      </c>
      <c r="C14" s="234">
        <v>870112969</v>
      </c>
      <c r="D14" s="234">
        <v>960434400</v>
      </c>
      <c r="E14" s="234">
        <v>1046769120</v>
      </c>
      <c r="F14" s="234">
        <v>1161194551</v>
      </c>
      <c r="G14" s="234">
        <v>1069685441</v>
      </c>
      <c r="H14" s="234">
        <v>1059674066</v>
      </c>
      <c r="I14" s="234">
        <v>1086402260</v>
      </c>
      <c r="J14" s="234">
        <v>1154525600</v>
      </c>
      <c r="K14" s="234">
        <v>1247185721</v>
      </c>
      <c r="L14" s="234">
        <v>1360641480</v>
      </c>
      <c r="M14" s="234">
        <v>1478045005</v>
      </c>
      <c r="N14" s="234">
        <v>1596849213</v>
      </c>
      <c r="O14" s="234">
        <v>1695434778</v>
      </c>
      <c r="P14" s="234">
        <v>1794858648</v>
      </c>
      <c r="Q14" s="234">
        <v>2018306669</v>
      </c>
      <c r="R14" s="234">
        <v>2071518284</v>
      </c>
      <c r="S14" s="234">
        <v>2015827443</v>
      </c>
      <c r="T14" s="234">
        <v>1982733062</v>
      </c>
      <c r="U14" s="234">
        <v>2033606904</v>
      </c>
      <c r="V14" s="234">
        <v>2085601804</v>
      </c>
      <c r="W14" s="234">
        <v>2138880397</v>
      </c>
      <c r="X14" s="234">
        <v>2255602530</v>
      </c>
      <c r="Y14" s="234">
        <v>2404415814</v>
      </c>
      <c r="Z14" s="894">
        <v>2544268436</v>
      </c>
    </row>
    <row r="15" spans="1:12" ht="12.75" customHeight="1">
      <c r="A15" s="65"/>
      <c r="B15" s="65"/>
      <c r="C15" s="65"/>
      <c r="D15" s="65"/>
      <c r="E15" s="65"/>
      <c r="F15" s="65"/>
      <c r="G15" s="65"/>
      <c r="H15" s="65"/>
      <c r="I15" s="65"/>
      <c r="J15" s="65"/>
      <c r="K15" s="65"/>
      <c r="L15" s="65"/>
    </row>
    <row r="16" spans="1:12" ht="15" customHeight="1">
      <c r="A16" s="53" t="s">
        <v>857</v>
      </c>
      <c r="B16" s="65"/>
      <c r="C16" s="65"/>
      <c r="D16" s="65"/>
      <c r="E16" s="65"/>
      <c r="F16" s="65"/>
      <c r="G16" s="65"/>
      <c r="H16" s="65"/>
      <c r="I16" s="65"/>
      <c r="J16" s="65"/>
      <c r="K16" s="65"/>
      <c r="L16" s="65"/>
    </row>
    <row r="17" spans="1:26" ht="13.5" customHeight="1">
      <c r="A17" s="1118" t="s">
        <v>852</v>
      </c>
      <c r="B17" s="1118"/>
      <c r="C17" s="1118"/>
      <c r="D17" s="1118"/>
      <c r="E17" s="1118"/>
      <c r="F17" s="1118"/>
      <c r="G17" s="1118"/>
      <c r="H17" s="1118"/>
      <c r="I17" s="1118"/>
      <c r="J17" s="1118"/>
      <c r="K17" s="1118"/>
      <c r="L17" s="1125"/>
      <c r="M17" s="1125"/>
      <c r="N17" s="1125"/>
      <c r="O17" s="1125"/>
      <c r="P17" s="1125"/>
      <c r="Q17" s="1125"/>
      <c r="R17" s="1125"/>
      <c r="S17" s="1125"/>
      <c r="T17" s="1125"/>
      <c r="U17" s="1125"/>
      <c r="V17" s="1125"/>
      <c r="W17" s="1125"/>
      <c r="X17" s="1125"/>
      <c r="Y17" s="1125"/>
      <c r="Z17" s="1196"/>
    </row>
    <row r="18" spans="1:26" ht="13.5" customHeight="1">
      <c r="A18" s="1118" t="s">
        <v>853</v>
      </c>
      <c r="B18" s="1118"/>
      <c r="C18" s="1118"/>
      <c r="D18" s="1118"/>
      <c r="E18" s="1118"/>
      <c r="F18" s="1118"/>
      <c r="G18" s="1118"/>
      <c r="H18" s="1118"/>
      <c r="I18" s="1118"/>
      <c r="J18" s="1118"/>
      <c r="K18" s="1118"/>
      <c r="L18" s="1125"/>
      <c r="M18" s="1125"/>
      <c r="N18" s="1125"/>
      <c r="O18" s="1125"/>
      <c r="P18" s="1125"/>
      <c r="Q18" s="1125"/>
      <c r="R18" s="1125"/>
      <c r="S18" s="1125"/>
      <c r="T18" s="1125"/>
      <c r="U18" s="1125"/>
      <c r="V18" s="1125"/>
      <c r="W18" s="1125"/>
      <c r="X18" s="1125"/>
      <c r="Y18" s="1125"/>
      <c r="Z18" s="1196"/>
    </row>
    <row r="19" ht="12.75">
      <c r="A19" s="65"/>
    </row>
    <row r="20" spans="1:12" ht="12.75">
      <c r="A20" s="65"/>
      <c r="B20" s="65"/>
      <c r="C20" s="65"/>
      <c r="D20" s="65"/>
      <c r="E20" s="65"/>
      <c r="F20" s="65"/>
      <c r="G20" s="65"/>
      <c r="H20" s="65"/>
      <c r="I20" s="65"/>
      <c r="J20" s="65"/>
      <c r="K20" s="65"/>
      <c r="L20" s="65"/>
    </row>
    <row r="21" spans="1:12" ht="12.75">
      <c r="A21" s="65"/>
      <c r="B21" s="65"/>
      <c r="C21" s="65"/>
      <c r="D21" s="65"/>
      <c r="E21" s="65"/>
      <c r="F21" s="65"/>
      <c r="G21" s="65"/>
      <c r="H21" s="65"/>
      <c r="I21" s="65"/>
      <c r="J21" s="65"/>
      <c r="K21" s="65"/>
      <c r="L21" s="65"/>
    </row>
    <row r="22" spans="1:12" ht="12.75">
      <c r="A22" s="65"/>
      <c r="B22" s="65"/>
      <c r="C22" s="65"/>
      <c r="D22" s="65"/>
      <c r="E22" s="65"/>
      <c r="F22" s="65"/>
      <c r="G22" s="65"/>
      <c r="H22" s="65"/>
      <c r="I22" s="65"/>
      <c r="J22" s="65"/>
      <c r="K22" s="65"/>
      <c r="L22" s="65"/>
    </row>
    <row r="23" spans="1:12" ht="12.75">
      <c r="A23" s="65"/>
      <c r="B23" s="65"/>
      <c r="C23" s="65"/>
      <c r="D23" s="65"/>
      <c r="E23" s="65"/>
      <c r="F23" s="65"/>
      <c r="G23" s="65"/>
      <c r="H23" s="65"/>
      <c r="I23" s="65"/>
      <c r="J23" s="65"/>
      <c r="K23" s="65"/>
      <c r="L23" s="65"/>
    </row>
    <row r="24" spans="1:12" ht="12.75">
      <c r="A24" s="65"/>
      <c r="B24" s="65"/>
      <c r="C24" s="65"/>
      <c r="D24" s="65"/>
      <c r="E24" s="65"/>
      <c r="F24" s="65"/>
      <c r="G24" s="65"/>
      <c r="H24" s="65"/>
      <c r="I24" s="65"/>
      <c r="J24" s="65"/>
      <c r="K24" s="65"/>
      <c r="L24" s="65"/>
    </row>
    <row r="25" spans="1:12" ht="12.75">
      <c r="A25" s="65"/>
      <c r="B25" s="65"/>
      <c r="C25" s="65"/>
      <c r="D25" s="65"/>
      <c r="E25" s="65"/>
      <c r="F25" s="65"/>
      <c r="G25" s="65"/>
      <c r="H25" s="65"/>
      <c r="I25" s="65"/>
      <c r="J25" s="65"/>
      <c r="K25" s="65"/>
      <c r="L25" s="65"/>
    </row>
    <row r="26" spans="1:12" ht="12.75">
      <c r="A26" s="65"/>
      <c r="B26" s="65"/>
      <c r="C26" s="65"/>
      <c r="D26" s="65"/>
      <c r="E26" s="65"/>
      <c r="F26" s="65"/>
      <c r="G26" s="65"/>
      <c r="H26" s="65"/>
      <c r="I26" s="65"/>
      <c r="J26" s="65"/>
      <c r="K26" s="65"/>
      <c r="L26" s="65"/>
    </row>
    <row r="27" spans="1:12" ht="12.75">
      <c r="A27" s="65"/>
      <c r="B27" s="65"/>
      <c r="C27" s="65"/>
      <c r="D27" s="65"/>
      <c r="E27" s="65"/>
      <c r="F27" s="65"/>
      <c r="G27" s="65"/>
      <c r="H27" s="65"/>
      <c r="I27" s="65"/>
      <c r="J27" s="65"/>
      <c r="K27" s="65"/>
      <c r="L27" s="65"/>
    </row>
    <row r="28" spans="1:12" ht="12.75">
      <c r="A28" s="65"/>
      <c r="B28" s="65"/>
      <c r="C28" s="65"/>
      <c r="D28" s="65"/>
      <c r="E28" s="65"/>
      <c r="F28" s="65"/>
      <c r="G28" s="65"/>
      <c r="H28" s="65"/>
      <c r="I28" s="65"/>
      <c r="J28" s="65"/>
      <c r="K28" s="65"/>
      <c r="L28" s="65"/>
    </row>
    <row r="29" spans="1:12" ht="12.75">
      <c r="A29" s="65"/>
      <c r="B29" s="65"/>
      <c r="C29" s="65"/>
      <c r="D29" s="65"/>
      <c r="E29" s="65"/>
      <c r="F29" s="65"/>
      <c r="G29" s="65"/>
      <c r="H29" s="65"/>
      <c r="I29" s="65"/>
      <c r="J29" s="65"/>
      <c r="K29" s="65"/>
      <c r="L29" s="65"/>
    </row>
    <row r="30" spans="1:12" ht="12.75">
      <c r="A30" s="65"/>
      <c r="B30" s="65"/>
      <c r="C30" s="65"/>
      <c r="D30" s="65"/>
      <c r="E30" s="65"/>
      <c r="F30" s="65"/>
      <c r="G30" s="65"/>
      <c r="H30" s="65"/>
      <c r="I30" s="65"/>
      <c r="J30" s="65"/>
      <c r="K30" s="65"/>
      <c r="L30" s="65"/>
    </row>
    <row r="31" spans="1:12" ht="12.75">
      <c r="A31" s="65"/>
      <c r="B31" s="65"/>
      <c r="C31" s="65"/>
      <c r="D31" s="65"/>
      <c r="E31" s="65"/>
      <c r="F31" s="65"/>
      <c r="G31" s="65"/>
      <c r="H31" s="65"/>
      <c r="I31" s="65"/>
      <c r="J31" s="65"/>
      <c r="K31" s="65"/>
      <c r="L31" s="65"/>
    </row>
    <row r="32" spans="1:12" ht="12.75">
      <c r="A32" s="65"/>
      <c r="B32" s="65"/>
      <c r="C32" s="65"/>
      <c r="D32" s="65"/>
      <c r="E32" s="65"/>
      <c r="F32" s="65"/>
      <c r="G32" s="65"/>
      <c r="H32" s="65"/>
      <c r="I32" s="65"/>
      <c r="J32" s="65"/>
      <c r="K32" s="65"/>
      <c r="L32" s="65"/>
    </row>
    <row r="33" spans="1:12" ht="12.75">
      <c r="A33" s="65"/>
      <c r="B33" s="65"/>
      <c r="C33" s="65"/>
      <c r="D33" s="65"/>
      <c r="E33" s="65"/>
      <c r="F33" s="65"/>
      <c r="G33" s="65"/>
      <c r="H33" s="65"/>
      <c r="I33" s="65"/>
      <c r="J33" s="65"/>
      <c r="K33" s="65"/>
      <c r="L33" s="65"/>
    </row>
    <row r="34" spans="1:12" ht="12.75">
      <c r="A34" s="65"/>
      <c r="B34" s="65"/>
      <c r="C34" s="65"/>
      <c r="D34" s="65"/>
      <c r="E34" s="65"/>
      <c r="F34" s="65"/>
      <c r="G34" s="65"/>
      <c r="H34" s="65"/>
      <c r="I34" s="65"/>
      <c r="J34" s="65"/>
      <c r="K34" s="65"/>
      <c r="L34" s="65"/>
    </row>
    <row r="35" spans="1:12" ht="12.75">
      <c r="A35" s="65"/>
      <c r="B35" s="65"/>
      <c r="C35" s="65"/>
      <c r="D35" s="65"/>
      <c r="E35" s="65"/>
      <c r="F35" s="65"/>
      <c r="G35" s="65"/>
      <c r="H35" s="65"/>
      <c r="I35" s="65"/>
      <c r="J35" s="65"/>
      <c r="K35" s="65"/>
      <c r="L35" s="65"/>
    </row>
    <row r="36" spans="1:12" ht="12.75">
      <c r="A36" s="65"/>
      <c r="B36" s="65"/>
      <c r="C36" s="65"/>
      <c r="D36" s="65"/>
      <c r="E36" s="65"/>
      <c r="F36" s="65"/>
      <c r="G36" s="65"/>
      <c r="H36" s="65"/>
      <c r="I36" s="65"/>
      <c r="J36" s="65"/>
      <c r="K36" s="65"/>
      <c r="L36" s="65"/>
    </row>
    <row r="37" spans="1:12" ht="12.75">
      <c r="A37" s="65"/>
      <c r="B37" s="65"/>
      <c r="C37" s="65"/>
      <c r="D37" s="65"/>
      <c r="E37" s="65"/>
      <c r="F37" s="65"/>
      <c r="G37" s="65"/>
      <c r="H37" s="65"/>
      <c r="I37" s="65"/>
      <c r="J37" s="65"/>
      <c r="K37" s="65"/>
      <c r="L37" s="65"/>
    </row>
  </sheetData>
  <sheetProtection/>
  <mergeCells count="6">
    <mergeCell ref="A18:Z18"/>
    <mergeCell ref="A1:Z1"/>
    <mergeCell ref="A3:Z3"/>
    <mergeCell ref="A4:Z4"/>
    <mergeCell ref="A5:Z5"/>
    <mergeCell ref="A17:Z17"/>
  </mergeCells>
  <printOptions horizontalCentered="1"/>
  <pageMargins left="0.7874015748031497" right="0.7874015748031497" top="0.984251968503937" bottom="0.984251968503937" header="0" footer="0"/>
  <pageSetup fitToHeight="1" fitToWidth="1" horizontalDpi="600" verticalDpi="600" orientation="landscape" scale="33"/>
</worksheet>
</file>

<file path=xl/worksheets/sheet43.xml><?xml version="1.0" encoding="utf-8"?>
<worksheet xmlns="http://schemas.openxmlformats.org/spreadsheetml/2006/main" xmlns:r="http://schemas.openxmlformats.org/officeDocument/2006/relationships">
  <sheetPr>
    <tabColor rgb="FF660066"/>
    <pageSetUpPr fitToPage="1"/>
  </sheetPr>
  <dimension ref="A1:Y49"/>
  <sheetViews>
    <sheetView zoomScalePageLayoutView="0" workbookViewId="0" topLeftCell="A1">
      <pane xSplit="1" ySplit="6" topLeftCell="V7" activePane="bottomRight" state="frozen"/>
      <selection pane="topLeft" activeCell="A1" sqref="A1"/>
      <selection pane="topRight" activeCell="B1" sqref="B1"/>
      <selection pane="bottomLeft" activeCell="A7" sqref="A7"/>
      <selection pane="bottomRight" activeCell="A1" sqref="A1"/>
    </sheetView>
  </sheetViews>
  <sheetFormatPr defaultColWidth="10.00390625" defaultRowHeight="12.75"/>
  <cols>
    <col min="1" max="1" width="22.8515625" style="896" customWidth="1"/>
    <col min="2" max="20" width="12.140625" style="896" customWidth="1"/>
    <col min="21" max="21" width="12.140625" style="1000" customWidth="1"/>
    <col min="22" max="22" width="12.140625" style="1023" customWidth="1"/>
    <col min="23" max="25" width="12.140625" style="1006" customWidth="1"/>
    <col min="26" max="16384" width="10.00390625" style="896" customWidth="1"/>
  </cols>
  <sheetData>
    <row r="1" spans="1:24" ht="12.75">
      <c r="A1" s="393"/>
      <c r="B1" s="393"/>
      <c r="C1" s="393"/>
      <c r="D1" s="393"/>
      <c r="E1" s="393"/>
      <c r="F1" s="393"/>
      <c r="G1" s="393"/>
      <c r="H1" s="393"/>
      <c r="I1" s="393"/>
      <c r="J1" s="393"/>
      <c r="K1" s="393"/>
      <c r="L1" s="393"/>
      <c r="M1" s="393"/>
      <c r="N1" s="393"/>
      <c r="O1" s="393"/>
      <c r="P1" s="393"/>
      <c r="Q1" s="393"/>
      <c r="R1" s="393"/>
      <c r="S1" s="393"/>
      <c r="T1" s="393"/>
      <c r="U1" s="810"/>
      <c r="V1" s="1004"/>
      <c r="W1" s="1005"/>
      <c r="X1" s="1005"/>
    </row>
    <row r="2" spans="1:25" s="999" customFormat="1" ht="18" customHeight="1">
      <c r="A2" s="1116" t="s">
        <v>532</v>
      </c>
      <c r="B2" s="1116"/>
      <c r="C2" s="1116"/>
      <c r="D2" s="1116"/>
      <c r="E2" s="1116"/>
      <c r="F2" s="1116"/>
      <c r="G2" s="1116"/>
      <c r="H2" s="1116"/>
      <c r="I2" s="1116"/>
      <c r="J2" s="1116"/>
      <c r="K2" s="1116"/>
      <c r="L2" s="1116"/>
      <c r="M2" s="1116"/>
      <c r="N2" s="1116"/>
      <c r="O2" s="1116"/>
      <c r="P2" s="1116"/>
      <c r="Q2" s="1116"/>
      <c r="R2" s="1116"/>
      <c r="S2" s="1116"/>
      <c r="T2" s="1116"/>
      <c r="U2" s="1116"/>
      <c r="V2" s="1116"/>
      <c r="W2" s="1116"/>
      <c r="X2" s="1116"/>
      <c r="Y2" s="1116"/>
    </row>
    <row r="3" spans="1:25" s="999" customFormat="1" ht="18" customHeight="1">
      <c r="A3" s="1201" t="s">
        <v>807</v>
      </c>
      <c r="B3" s="1201"/>
      <c r="C3" s="1201"/>
      <c r="D3" s="1201"/>
      <c r="E3" s="1201"/>
      <c r="F3" s="1201"/>
      <c r="G3" s="1201"/>
      <c r="H3" s="1201"/>
      <c r="I3" s="1201"/>
      <c r="J3" s="1201"/>
      <c r="K3" s="1201"/>
      <c r="L3" s="1201"/>
      <c r="M3" s="1201"/>
      <c r="N3" s="1201"/>
      <c r="O3" s="1201"/>
      <c r="P3" s="1201"/>
      <c r="Q3" s="1201"/>
      <c r="R3" s="1201"/>
      <c r="S3" s="1201"/>
      <c r="T3" s="1201"/>
      <c r="U3" s="1201"/>
      <c r="V3" s="1201"/>
      <c r="W3" s="1201"/>
      <c r="X3" s="1201"/>
      <c r="Y3" s="1201"/>
    </row>
    <row r="4" spans="1:25" s="999" customFormat="1" ht="18" customHeight="1">
      <c r="A4" s="1197" t="s">
        <v>416</v>
      </c>
      <c r="B4" s="1197"/>
      <c r="C4" s="1197"/>
      <c r="D4" s="1197"/>
      <c r="E4" s="1197"/>
      <c r="F4" s="1197"/>
      <c r="G4" s="1197"/>
      <c r="H4" s="1197"/>
      <c r="I4" s="1197"/>
      <c r="J4" s="1197"/>
      <c r="K4" s="1197"/>
      <c r="L4" s="1197"/>
      <c r="M4" s="1197"/>
      <c r="N4" s="1197"/>
      <c r="O4" s="1197"/>
      <c r="P4" s="1197"/>
      <c r="Q4" s="1197"/>
      <c r="R4" s="1197"/>
      <c r="S4" s="1197"/>
      <c r="T4" s="1197"/>
      <c r="U4" s="1197"/>
      <c r="V4" s="1197"/>
      <c r="W4" s="1197"/>
      <c r="X4" s="1197"/>
      <c r="Y4" s="1197"/>
    </row>
    <row r="5" spans="1:25" ht="18" customHeight="1">
      <c r="A5" s="52"/>
      <c r="B5" s="65"/>
      <c r="C5" s="65"/>
      <c r="D5" s="65"/>
      <c r="E5" s="65"/>
      <c r="F5" s="65"/>
      <c r="G5" s="65"/>
      <c r="H5" s="65"/>
      <c r="I5" s="65"/>
      <c r="J5" s="65"/>
      <c r="K5" s="65"/>
      <c r="L5" s="65"/>
      <c r="M5" s="65"/>
      <c r="N5" s="65"/>
      <c r="O5" s="65"/>
      <c r="P5" s="65"/>
      <c r="Q5" s="65"/>
      <c r="R5" s="65"/>
      <c r="S5" s="65"/>
      <c r="T5" s="65"/>
      <c r="U5" s="753"/>
      <c r="V5" s="1007"/>
      <c r="W5" s="1008"/>
      <c r="X5" s="1008"/>
      <c r="Y5" s="1008"/>
    </row>
    <row r="6" spans="1:25" s="1001" customFormat="1" ht="18" customHeight="1">
      <c r="A6" s="521"/>
      <c r="B6" s="509">
        <v>2000</v>
      </c>
      <c r="C6" s="509">
        <v>2001</v>
      </c>
      <c r="D6" s="509">
        <v>2002</v>
      </c>
      <c r="E6" s="509">
        <v>2003</v>
      </c>
      <c r="F6" s="509">
        <v>2004</v>
      </c>
      <c r="G6" s="509">
        <v>2005</v>
      </c>
      <c r="H6" s="509">
        <v>2006</v>
      </c>
      <c r="I6" s="509">
        <v>2007</v>
      </c>
      <c r="J6" s="509">
        <v>2008</v>
      </c>
      <c r="K6" s="509">
        <v>2009</v>
      </c>
      <c r="L6" s="509">
        <v>2010</v>
      </c>
      <c r="M6" s="509">
        <v>2011</v>
      </c>
      <c r="N6" s="509">
        <v>2012</v>
      </c>
      <c r="O6" s="509">
        <v>2013</v>
      </c>
      <c r="P6" s="509">
        <v>2014</v>
      </c>
      <c r="Q6" s="509">
        <v>2015</v>
      </c>
      <c r="R6" s="509">
        <v>2016</v>
      </c>
      <c r="S6" s="509">
        <v>2017</v>
      </c>
      <c r="T6" s="509">
        <v>2018</v>
      </c>
      <c r="U6" s="509">
        <v>2019</v>
      </c>
      <c r="V6" s="509">
        <v>2020</v>
      </c>
      <c r="W6" s="509">
        <v>2021</v>
      </c>
      <c r="X6" s="509">
        <v>2022</v>
      </c>
      <c r="Y6" s="1009" t="s">
        <v>808</v>
      </c>
    </row>
    <row r="7" spans="1:25" ht="18" customHeight="1">
      <c r="A7" s="1010" t="s">
        <v>137</v>
      </c>
      <c r="B7" s="712">
        <v>23250.969728789387</v>
      </c>
      <c r="C7" s="712">
        <v>29143.46743193501</v>
      </c>
      <c r="D7" s="712">
        <v>31372.16552723682</v>
      </c>
      <c r="E7" s="712">
        <v>33921.651816735895</v>
      </c>
      <c r="F7" s="712">
        <v>34985.669328200995</v>
      </c>
      <c r="G7" s="712">
        <v>35918.03020203975</v>
      </c>
      <c r="H7" s="712">
        <v>37197.134918529475</v>
      </c>
      <c r="I7" s="712">
        <v>38465.78260023422</v>
      </c>
      <c r="J7" s="712">
        <v>42014.17807853501</v>
      </c>
      <c r="K7" s="712">
        <v>43763.55120943625</v>
      </c>
      <c r="L7" s="712">
        <v>47194.93128431413</v>
      </c>
      <c r="M7" s="712">
        <v>51156.439421458104</v>
      </c>
      <c r="N7" s="712">
        <v>55081.01401608444</v>
      </c>
      <c r="O7" s="712">
        <v>56785.45094216128</v>
      </c>
      <c r="P7" s="712">
        <v>58576.92517606254</v>
      </c>
      <c r="Q7" s="712">
        <v>60593</v>
      </c>
      <c r="R7" s="712">
        <v>62698.182076547404</v>
      </c>
      <c r="S7" s="712">
        <v>63900.7</v>
      </c>
      <c r="T7" s="712">
        <v>67653.17940574796</v>
      </c>
      <c r="U7" s="712">
        <v>68495.25986592994</v>
      </c>
      <c r="V7" s="712">
        <v>70113.28602344805</v>
      </c>
      <c r="W7" s="712">
        <v>73234.01466219715</v>
      </c>
      <c r="X7" s="712">
        <v>73893.48416020258</v>
      </c>
      <c r="Y7" s="1011">
        <v>77731</v>
      </c>
    </row>
    <row r="8" spans="1:25" ht="18" customHeight="1">
      <c r="A8" s="1010" t="s">
        <v>417</v>
      </c>
      <c r="B8" s="712">
        <v>29797.684922280478</v>
      </c>
      <c r="C8" s="712">
        <v>36679.86424571526</v>
      </c>
      <c r="D8" s="712">
        <v>38878.9934340075</v>
      </c>
      <c r="E8" s="712">
        <v>42421.94656122847</v>
      </c>
      <c r="F8" s="712">
        <v>43920.58106310656</v>
      </c>
      <c r="G8" s="712">
        <v>44582.40892140832</v>
      </c>
      <c r="H8" s="712">
        <v>45649.3642094807</v>
      </c>
      <c r="I8" s="712">
        <v>46643.50643018884</v>
      </c>
      <c r="J8" s="712">
        <v>50665.64610488504</v>
      </c>
      <c r="K8" s="712">
        <v>51908.90336645969</v>
      </c>
      <c r="L8" s="712">
        <v>54124.902003057505</v>
      </c>
      <c r="M8" s="712">
        <v>59995.139124945366</v>
      </c>
      <c r="N8" s="712">
        <v>63619.41095967455</v>
      </c>
      <c r="O8" s="712">
        <v>65216.90643925618</v>
      </c>
      <c r="P8" s="712">
        <v>66742.94722189165</v>
      </c>
      <c r="Q8" s="712">
        <v>68678</v>
      </c>
      <c r="R8" s="712">
        <v>70660.5250635257</v>
      </c>
      <c r="S8" s="712">
        <v>71958.4</v>
      </c>
      <c r="T8" s="712">
        <v>76718.17177751908</v>
      </c>
      <c r="U8" s="712">
        <v>77009.00067052527</v>
      </c>
      <c r="V8" s="712">
        <v>77963.83461733523</v>
      </c>
      <c r="W8" s="712">
        <v>80411.95258133327</v>
      </c>
      <c r="X8" s="712">
        <v>80222.52081236849</v>
      </c>
      <c r="Y8" s="1011">
        <v>79046</v>
      </c>
    </row>
    <row r="9" spans="1:25" ht="18" customHeight="1">
      <c r="A9" s="1010" t="s">
        <v>418</v>
      </c>
      <c r="B9" s="712">
        <v>13697.978493794804</v>
      </c>
      <c r="C9" s="712">
        <v>17812.95411870357</v>
      </c>
      <c r="D9" s="712">
        <v>19893.913761504846</v>
      </c>
      <c r="E9" s="712">
        <v>20936.60411970766</v>
      </c>
      <c r="F9" s="712">
        <v>21393.682494777564</v>
      </c>
      <c r="G9" s="712">
        <v>22407.810264499796</v>
      </c>
      <c r="H9" s="712">
        <v>23496.00651400236</v>
      </c>
      <c r="I9" s="712">
        <v>24525.63924979915</v>
      </c>
      <c r="J9" s="712">
        <v>26937.805436075778</v>
      </c>
      <c r="K9" s="712">
        <v>29179.99088007296</v>
      </c>
      <c r="L9" s="712">
        <v>34392.02853289158</v>
      </c>
      <c r="M9" s="712">
        <v>34708.1303825265</v>
      </c>
      <c r="N9" s="712">
        <v>38675.764752496645</v>
      </c>
      <c r="O9" s="712">
        <v>40521.204159574925</v>
      </c>
      <c r="P9" s="712">
        <v>42545.837839628766</v>
      </c>
      <c r="Q9" s="712">
        <v>44237</v>
      </c>
      <c r="R9" s="712">
        <v>46261.635217345494</v>
      </c>
      <c r="S9" s="712">
        <v>47149.8</v>
      </c>
      <c r="T9" s="712">
        <v>49170.64879058201</v>
      </c>
      <c r="U9" s="712">
        <v>50250.50027768718</v>
      </c>
      <c r="V9" s="712">
        <v>52767.24682277817</v>
      </c>
      <c r="W9" s="712">
        <v>56372.80833858146</v>
      </c>
      <c r="X9" s="712">
        <v>58413.91719418625</v>
      </c>
      <c r="Y9" s="1011">
        <v>61471</v>
      </c>
    </row>
    <row r="10" spans="1:25" ht="18" customHeight="1">
      <c r="A10" s="65"/>
      <c r="B10" s="65"/>
      <c r="C10" s="65"/>
      <c r="D10" s="65"/>
      <c r="E10" s="65"/>
      <c r="F10" s="65"/>
      <c r="G10" s="65"/>
      <c r="H10" s="65"/>
      <c r="I10" s="65"/>
      <c r="J10" s="65"/>
      <c r="K10" s="65"/>
      <c r="L10" s="65"/>
      <c r="M10" s="65"/>
      <c r="N10" s="65"/>
      <c r="O10" s="65"/>
      <c r="P10" s="65"/>
      <c r="Q10" s="65"/>
      <c r="R10" s="65"/>
      <c r="S10" s="65"/>
      <c r="T10" s="65"/>
      <c r="U10" s="753"/>
      <c r="V10" s="1007"/>
      <c r="W10" s="1008"/>
      <c r="X10" s="1008"/>
      <c r="Y10" s="1008"/>
    </row>
    <row r="11" spans="1:25" s="999" customFormat="1" ht="18" customHeight="1">
      <c r="A11" s="1116" t="s">
        <v>532</v>
      </c>
      <c r="B11" s="1116"/>
      <c r="C11" s="1116"/>
      <c r="D11" s="1116"/>
      <c r="E11" s="1116"/>
      <c r="F11" s="1116"/>
      <c r="G11" s="1116"/>
      <c r="H11" s="1116"/>
      <c r="I11" s="1116"/>
      <c r="J11" s="1116"/>
      <c r="K11" s="1116"/>
      <c r="L11" s="1116"/>
      <c r="M11" s="1116"/>
      <c r="N11" s="1116"/>
      <c r="O11" s="1116"/>
      <c r="P11" s="1116"/>
      <c r="Q11" s="1116"/>
      <c r="R11" s="1116"/>
      <c r="S11" s="1116"/>
      <c r="T11" s="1116"/>
      <c r="U11" s="1116"/>
      <c r="V11" s="1116"/>
      <c r="W11" s="1116"/>
      <c r="X11" s="1116"/>
      <c r="Y11" s="1116"/>
    </row>
    <row r="12" spans="1:25" s="999" customFormat="1" ht="18" customHeight="1">
      <c r="A12" s="1201" t="s">
        <v>778</v>
      </c>
      <c r="B12" s="1201"/>
      <c r="C12" s="1201"/>
      <c r="D12" s="1201"/>
      <c r="E12" s="1201"/>
      <c r="F12" s="1201"/>
      <c r="G12" s="1201"/>
      <c r="H12" s="1201"/>
      <c r="I12" s="1201"/>
      <c r="J12" s="1201"/>
      <c r="K12" s="1201"/>
      <c r="L12" s="1201"/>
      <c r="M12" s="1201"/>
      <c r="N12" s="1201"/>
      <c r="O12" s="1201"/>
      <c r="P12" s="1201"/>
      <c r="Q12" s="1201"/>
      <c r="R12" s="1201"/>
      <c r="S12" s="1201"/>
      <c r="T12" s="1201"/>
      <c r="U12" s="1201"/>
      <c r="V12" s="1201"/>
      <c r="W12" s="1201"/>
      <c r="X12" s="1201"/>
      <c r="Y12" s="1201"/>
    </row>
    <row r="13" spans="1:25" s="999" customFormat="1" ht="18" customHeight="1">
      <c r="A13" s="1197" t="s">
        <v>419</v>
      </c>
      <c r="B13" s="1197"/>
      <c r="C13" s="1197"/>
      <c r="D13" s="1197"/>
      <c r="E13" s="1197"/>
      <c r="F13" s="1197"/>
      <c r="G13" s="1197"/>
      <c r="H13" s="1197"/>
      <c r="I13" s="1197"/>
      <c r="J13" s="1197"/>
      <c r="K13" s="1197"/>
      <c r="L13" s="1197"/>
      <c r="M13" s="1197"/>
      <c r="N13" s="1197"/>
      <c r="O13" s="1197"/>
      <c r="P13" s="1197"/>
      <c r="Q13" s="1197"/>
      <c r="R13" s="1197"/>
      <c r="S13" s="1197"/>
      <c r="T13" s="1197"/>
      <c r="U13" s="1197"/>
      <c r="V13" s="1197"/>
      <c r="W13" s="1197"/>
      <c r="X13" s="1197"/>
      <c r="Y13" s="1197"/>
    </row>
    <row r="14" spans="1:25" s="1014" customFormat="1" ht="18" customHeight="1">
      <c r="A14" s="1012"/>
      <c r="B14" s="1013">
        <v>32.47948013754627</v>
      </c>
      <c r="C14" s="1013">
        <v>34.44179121411769</v>
      </c>
      <c r="D14" s="1013">
        <v>36.336955733224094</v>
      </c>
      <c r="E14" s="1013">
        <v>37.8047669286512</v>
      </c>
      <c r="F14" s="1013">
        <v>40.815066332013245</v>
      </c>
      <c r="G14" s="1013">
        <v>43.21226118730676</v>
      </c>
      <c r="H14" s="1013">
        <v>45.97342803633595</v>
      </c>
      <c r="I14" s="1013">
        <v>48.63481635604794</v>
      </c>
      <c r="J14" s="1013">
        <v>51.63633022852672</v>
      </c>
      <c r="K14" s="1013">
        <v>53.675200931366675</v>
      </c>
      <c r="L14" s="1013">
        <v>56.11444082731587</v>
      </c>
      <c r="M14" s="1013">
        <v>59.39332646053802</v>
      </c>
      <c r="N14" s="1013">
        <v>61.808092377598086</v>
      </c>
      <c r="O14" s="1013">
        <v>62.753792023390595</v>
      </c>
      <c r="P14" s="1013">
        <v>65.54006038922914</v>
      </c>
      <c r="Q14" s="1013">
        <v>67.39820017104174</v>
      </c>
      <c r="R14" s="1013">
        <v>71.17597845084985</v>
      </c>
      <c r="S14" s="1013">
        <v>75.95342463759057</v>
      </c>
      <c r="T14" s="1013">
        <v>79.71049416603097</v>
      </c>
      <c r="U14" s="1013">
        <v>82.99753779221616</v>
      </c>
      <c r="V14" s="1013">
        <v>86.46719495318945</v>
      </c>
      <c r="W14" s="1013">
        <v>92.5925925925926</v>
      </c>
      <c r="X14" s="1013"/>
      <c r="Y14" s="1013">
        <v>100</v>
      </c>
    </row>
    <row r="15" spans="1:25" s="1001" customFormat="1" ht="18" customHeight="1">
      <c r="A15" s="521"/>
      <c r="B15" s="509">
        <v>2000</v>
      </c>
      <c r="C15" s="509">
        <v>2001</v>
      </c>
      <c r="D15" s="509">
        <v>2002</v>
      </c>
      <c r="E15" s="509">
        <v>2003</v>
      </c>
      <c r="F15" s="509">
        <v>2004</v>
      </c>
      <c r="G15" s="509">
        <v>2005</v>
      </c>
      <c r="H15" s="509">
        <v>2006</v>
      </c>
      <c r="I15" s="509">
        <v>2007</v>
      </c>
      <c r="J15" s="509">
        <v>2008</v>
      </c>
      <c r="K15" s="509">
        <v>2009</v>
      </c>
      <c r="L15" s="509">
        <v>2010</v>
      </c>
      <c r="M15" s="509">
        <v>2011</v>
      </c>
      <c r="N15" s="509">
        <v>2012</v>
      </c>
      <c r="O15" s="509">
        <v>2013</v>
      </c>
      <c r="P15" s="509">
        <v>2014</v>
      </c>
      <c r="Q15" s="509">
        <v>2015</v>
      </c>
      <c r="R15" s="509">
        <v>2016</v>
      </c>
      <c r="S15" s="509">
        <v>2017</v>
      </c>
      <c r="T15" s="509">
        <v>2018</v>
      </c>
      <c r="U15" s="509">
        <v>2019</v>
      </c>
      <c r="V15" s="509">
        <v>2020</v>
      </c>
      <c r="W15" s="509">
        <v>2021</v>
      </c>
      <c r="X15" s="509">
        <v>2022</v>
      </c>
      <c r="Y15" s="1009" t="s">
        <v>808</v>
      </c>
    </row>
    <row r="16" spans="1:25" ht="18" customHeight="1">
      <c r="A16" s="1010" t="s">
        <v>137</v>
      </c>
      <c r="B16" s="712">
        <f>B7/B$14*100</f>
        <v>71586.6437218965</v>
      </c>
      <c r="C16" s="712">
        <f>C7/C$14*100</f>
        <v>84616.58469141727</v>
      </c>
      <c r="D16" s="712">
        <f>D7/D$14*100</f>
        <v>86336.80200829868</v>
      </c>
      <c r="E16" s="712">
        <f aca="true" t="shared" si="0" ref="E16:Y18">E7/E$14*100</f>
        <v>89728.50402901864</v>
      </c>
      <c r="F16" s="712">
        <f t="shared" si="0"/>
        <v>85717.53637151394</v>
      </c>
      <c r="G16" s="712">
        <f t="shared" si="0"/>
        <v>83119.99699888506</v>
      </c>
      <c r="H16" s="712">
        <f t="shared" si="0"/>
        <v>80910.07459598189</v>
      </c>
      <c r="I16" s="712">
        <f t="shared" si="0"/>
        <v>79091.04111472776</v>
      </c>
      <c r="J16" s="712">
        <f t="shared" si="0"/>
        <v>81365.53835757308</v>
      </c>
      <c r="K16" s="712">
        <f t="shared" si="0"/>
        <v>81534.02400001402</v>
      </c>
      <c r="L16" s="712">
        <f t="shared" si="0"/>
        <v>84104.78762418707</v>
      </c>
      <c r="M16" s="712">
        <f t="shared" si="0"/>
        <v>86131.6287031799</v>
      </c>
      <c r="N16" s="712">
        <f t="shared" si="0"/>
        <v>89116.1851098452</v>
      </c>
      <c r="O16" s="712">
        <f t="shared" si="0"/>
        <v>90489.27421150151</v>
      </c>
      <c r="P16" s="712">
        <f t="shared" si="0"/>
        <v>89375.75709907201</v>
      </c>
      <c r="Q16" s="712">
        <f t="shared" si="0"/>
        <v>89902.99421383413</v>
      </c>
      <c r="R16" s="712">
        <f t="shared" si="0"/>
        <v>88088.96405947304</v>
      </c>
      <c r="S16" s="712">
        <f t="shared" si="0"/>
        <v>84131.42699608374</v>
      </c>
      <c r="T16" s="712">
        <f t="shared" si="0"/>
        <v>84873.61684752759</v>
      </c>
      <c r="U16" s="712">
        <f t="shared" si="0"/>
        <v>82526.85764896714</v>
      </c>
      <c r="V16" s="712">
        <f t="shared" si="0"/>
        <v>81086.57400231974</v>
      </c>
      <c r="W16" s="712">
        <f t="shared" si="0"/>
        <v>79092.73583517292</v>
      </c>
      <c r="X16" s="712">
        <v>77563</v>
      </c>
      <c r="Y16" s="1011">
        <f t="shared" si="0"/>
        <v>77731</v>
      </c>
    </row>
    <row r="17" spans="1:25" ht="18" customHeight="1">
      <c r="A17" s="1010" t="s">
        <v>417</v>
      </c>
      <c r="B17" s="712">
        <f>B8/B$14*100</f>
        <v>91743.10917567415</v>
      </c>
      <c r="C17" s="712">
        <f>C8/C$14*100</f>
        <v>106498.13192840035</v>
      </c>
      <c r="D17" s="712">
        <f aca="true" t="shared" si="1" ref="D17:N18">D8/D$14*100</f>
        <v>106995.73657035649</v>
      </c>
      <c r="E17" s="712">
        <f t="shared" si="1"/>
        <v>112213.2207329601</v>
      </c>
      <c r="F17" s="712">
        <f t="shared" si="1"/>
        <v>107608.74601018966</v>
      </c>
      <c r="G17" s="712">
        <f t="shared" si="1"/>
        <v>103170.73834244072</v>
      </c>
      <c r="H17" s="712">
        <f t="shared" si="1"/>
        <v>99295.10623702213</v>
      </c>
      <c r="I17" s="712">
        <f t="shared" si="1"/>
        <v>95905.58765292536</v>
      </c>
      <c r="J17" s="712">
        <f t="shared" si="1"/>
        <v>98120.15276967647</v>
      </c>
      <c r="K17" s="712">
        <f t="shared" si="1"/>
        <v>96709.2856025532</v>
      </c>
      <c r="L17" s="712">
        <f t="shared" si="1"/>
        <v>96454.49763924249</v>
      </c>
      <c r="M17" s="712">
        <f t="shared" si="1"/>
        <v>101013.26647330858</v>
      </c>
      <c r="N17" s="712">
        <f t="shared" si="1"/>
        <v>102930.55247686784</v>
      </c>
      <c r="O17" s="712">
        <f t="shared" si="0"/>
        <v>103925.04474462275</v>
      </c>
      <c r="P17" s="712">
        <f t="shared" si="0"/>
        <v>101835.34593273001</v>
      </c>
      <c r="Q17" s="712">
        <f t="shared" si="0"/>
        <v>101898.86350927831</v>
      </c>
      <c r="R17" s="712">
        <f t="shared" si="0"/>
        <v>99275.80428321038</v>
      </c>
      <c r="S17" s="712">
        <f t="shared" si="0"/>
        <v>94740.16523066246</v>
      </c>
      <c r="T17" s="712">
        <f t="shared" si="0"/>
        <v>96246.0119965144</v>
      </c>
      <c r="U17" s="712">
        <f t="shared" si="0"/>
        <v>92784.68099055762</v>
      </c>
      <c r="V17" s="712">
        <f t="shared" si="0"/>
        <v>90165.79601031622</v>
      </c>
      <c r="W17" s="712">
        <f t="shared" si="0"/>
        <v>86844.90878783993</v>
      </c>
      <c r="X17" s="712">
        <v>84206</v>
      </c>
      <c r="Y17" s="1011">
        <f t="shared" si="0"/>
        <v>79046</v>
      </c>
    </row>
    <row r="18" spans="1:25" ht="18" customHeight="1">
      <c r="A18" s="1010" t="s">
        <v>418</v>
      </c>
      <c r="B18" s="712">
        <f>B9/B$14*100</f>
        <v>42174.25413148761</v>
      </c>
      <c r="C18" s="712">
        <f>C9/C$14*100</f>
        <v>51719.01196416881</v>
      </c>
      <c r="D18" s="712">
        <f t="shared" si="1"/>
        <v>54748.43271836109</v>
      </c>
      <c r="E18" s="712">
        <f t="shared" si="1"/>
        <v>55380.85754958162</v>
      </c>
      <c r="F18" s="712">
        <f t="shared" si="1"/>
        <v>52416.14045350076</v>
      </c>
      <c r="G18" s="712">
        <f t="shared" si="1"/>
        <v>51855.21342512367</v>
      </c>
      <c r="H18" s="712">
        <f t="shared" si="1"/>
        <v>51107.79752041083</v>
      </c>
      <c r="I18" s="712">
        <f t="shared" si="1"/>
        <v>50428.15227315912</v>
      </c>
      <c r="J18" s="712">
        <f t="shared" si="1"/>
        <v>52168.318927501685</v>
      </c>
      <c r="K18" s="712">
        <f t="shared" si="1"/>
        <v>54364.0086552909</v>
      </c>
      <c r="L18" s="712">
        <f t="shared" si="1"/>
        <v>61289.087133075256</v>
      </c>
      <c r="M18" s="712">
        <f t="shared" si="1"/>
        <v>58437.76136294908</v>
      </c>
      <c r="N18" s="712">
        <f t="shared" si="1"/>
        <v>62573.949890280725</v>
      </c>
      <c r="O18" s="712">
        <f t="shared" si="0"/>
        <v>64571.72204744411</v>
      </c>
      <c r="P18" s="712">
        <f t="shared" si="0"/>
        <v>64915.774546067936</v>
      </c>
      <c r="Q18" s="712">
        <f t="shared" si="0"/>
        <v>65635.283861789</v>
      </c>
      <c r="R18" s="712">
        <f t="shared" si="0"/>
        <v>64996.13524707804</v>
      </c>
      <c r="S18" s="712">
        <f t="shared" si="0"/>
        <v>62077.25356028885</v>
      </c>
      <c r="T18" s="712">
        <f t="shared" si="0"/>
        <v>61686.543666588295</v>
      </c>
      <c r="U18" s="712">
        <f t="shared" si="0"/>
        <v>60544.567482819795</v>
      </c>
      <c r="V18" s="712">
        <f t="shared" si="0"/>
        <v>61025.74144025912</v>
      </c>
      <c r="W18" s="712">
        <f t="shared" si="0"/>
        <v>60882.63300566798</v>
      </c>
      <c r="X18" s="712">
        <v>61315</v>
      </c>
      <c r="Y18" s="1011">
        <f t="shared" si="0"/>
        <v>61471</v>
      </c>
    </row>
    <row r="19" spans="1:25" ht="12" customHeight="1">
      <c r="A19" s="1015"/>
      <c r="B19" s="1016"/>
      <c r="C19" s="1016"/>
      <c r="D19" s="1016"/>
      <c r="E19" s="1016"/>
      <c r="F19" s="1016"/>
      <c r="G19" s="1016"/>
      <c r="H19" s="1016"/>
      <c r="I19" s="1016"/>
      <c r="J19" s="1016"/>
      <c r="K19" s="1016"/>
      <c r="L19" s="1016"/>
      <c r="M19" s="1016"/>
      <c r="N19" s="1016"/>
      <c r="O19" s="1016"/>
      <c r="P19" s="1016"/>
      <c r="Q19" s="1016"/>
      <c r="R19" s="1016"/>
      <c r="S19" s="1016"/>
      <c r="T19" s="1016"/>
      <c r="U19" s="1017"/>
      <c r="V19" s="1018"/>
      <c r="W19" s="1019"/>
      <c r="X19" s="1019"/>
      <c r="Y19" s="1008"/>
    </row>
    <row r="20" spans="1:25" ht="12.75" customHeight="1">
      <c r="A20" s="1198" t="s">
        <v>775</v>
      </c>
      <c r="B20" s="1199"/>
      <c r="C20" s="1199"/>
      <c r="D20" s="1199"/>
      <c r="E20" s="1199"/>
      <c r="F20" s="1199"/>
      <c r="G20" s="1199"/>
      <c r="H20" s="1199"/>
      <c r="I20" s="1199"/>
      <c r="J20" s="1199"/>
      <c r="K20" s="1199"/>
      <c r="L20" s="1199"/>
      <c r="M20" s="1199"/>
      <c r="N20" s="1199"/>
      <c r="O20" s="1199"/>
      <c r="P20" s="1199"/>
      <c r="Q20" s="1199"/>
      <c r="R20" s="1199"/>
      <c r="S20" s="1199"/>
      <c r="T20" s="1199"/>
      <c r="U20" s="1199"/>
      <c r="V20" s="1199"/>
      <c r="W20" s="1199"/>
      <c r="X20" s="1020"/>
      <c r="Y20" s="1008"/>
    </row>
    <row r="21" spans="1:25" ht="12.75" customHeight="1">
      <c r="A21" s="55" t="s">
        <v>809</v>
      </c>
      <c r="B21" s="65"/>
      <c r="C21" s="65"/>
      <c r="D21" s="65"/>
      <c r="E21" s="65"/>
      <c r="F21" s="65"/>
      <c r="G21" s="65"/>
      <c r="H21" s="65"/>
      <c r="I21" s="65"/>
      <c r="J21" s="65"/>
      <c r="K21" s="65"/>
      <c r="L21" s="65"/>
      <c r="M21" s="65"/>
      <c r="N21" s="65"/>
      <c r="O21" s="65"/>
      <c r="P21" s="65"/>
      <c r="Q21" s="65"/>
      <c r="R21" s="65"/>
      <c r="S21" s="65"/>
      <c r="T21" s="65"/>
      <c r="U21" s="753"/>
      <c r="V21" s="1007"/>
      <c r="W21" s="1008"/>
      <c r="X21" s="1008"/>
      <c r="Y21" s="1008"/>
    </row>
    <row r="22" spans="1:25" ht="12.75" customHeight="1">
      <c r="A22" s="55" t="s">
        <v>810</v>
      </c>
      <c r="B22" s="65"/>
      <c r="C22" s="65"/>
      <c r="D22" s="65"/>
      <c r="E22" s="65"/>
      <c r="F22" s="65"/>
      <c r="G22" s="65"/>
      <c r="H22" s="65"/>
      <c r="I22" s="65"/>
      <c r="J22" s="65"/>
      <c r="K22" s="65"/>
      <c r="L22" s="65"/>
      <c r="M22" s="65"/>
      <c r="N22" s="65"/>
      <c r="O22" s="65"/>
      <c r="P22" s="65"/>
      <c r="Q22" s="65"/>
      <c r="R22" s="65"/>
      <c r="S22" s="65"/>
      <c r="T22" s="65"/>
      <c r="U22" s="753"/>
      <c r="V22" s="1007"/>
      <c r="W22" s="1008"/>
      <c r="X22" s="1008"/>
      <c r="Y22" s="1008"/>
    </row>
    <row r="23" spans="1:25" ht="14.25">
      <c r="A23" s="742"/>
      <c r="B23" s="65"/>
      <c r="C23" s="65"/>
      <c r="D23" s="65"/>
      <c r="E23" s="65"/>
      <c r="F23" s="65"/>
      <c r="G23" s="65"/>
      <c r="H23" s="65"/>
      <c r="I23" s="65"/>
      <c r="J23" s="65"/>
      <c r="K23" s="65"/>
      <c r="L23" s="65"/>
      <c r="M23" s="65"/>
      <c r="N23" s="65"/>
      <c r="O23" s="65"/>
      <c r="P23" s="65"/>
      <c r="Q23" s="65"/>
      <c r="R23" s="65"/>
      <c r="S23" s="65"/>
      <c r="T23" s="65"/>
      <c r="U23" s="753"/>
      <c r="V23" s="1007"/>
      <c r="W23" s="1008"/>
      <c r="X23" s="1008"/>
      <c r="Y23" s="1008"/>
    </row>
    <row r="24" spans="1:25" ht="14.25">
      <c r="A24" s="742"/>
      <c r="B24" s="65"/>
      <c r="C24" s="65"/>
      <c r="D24" s="65"/>
      <c r="E24" s="65"/>
      <c r="F24" s="65"/>
      <c r="G24" s="65"/>
      <c r="H24" s="65"/>
      <c r="I24" s="65"/>
      <c r="J24" s="65"/>
      <c r="K24" s="65"/>
      <c r="L24" s="65"/>
      <c r="M24" s="65"/>
      <c r="N24" s="65"/>
      <c r="O24" s="65"/>
      <c r="P24" s="65"/>
      <c r="Q24" s="65"/>
      <c r="R24" s="65"/>
      <c r="S24" s="65"/>
      <c r="T24" s="65"/>
      <c r="U24" s="753"/>
      <c r="V24" s="1007"/>
      <c r="W24" s="1008"/>
      <c r="X24" s="1008"/>
      <c r="Y24" s="1008"/>
    </row>
    <row r="25" spans="1:25" s="686" customFormat="1" ht="15" customHeight="1">
      <c r="A25" s="53" t="s">
        <v>811</v>
      </c>
      <c r="B25" s="53"/>
      <c r="C25" s="53"/>
      <c r="D25" s="53"/>
      <c r="E25" s="53"/>
      <c r="F25" s="53"/>
      <c r="G25" s="53"/>
      <c r="H25" s="53"/>
      <c r="I25" s="53"/>
      <c r="J25" s="53"/>
      <c r="K25" s="53"/>
      <c r="L25" s="53"/>
      <c r="M25" s="53"/>
      <c r="N25" s="53"/>
      <c r="O25" s="53"/>
      <c r="P25" s="53"/>
      <c r="Q25" s="53"/>
      <c r="R25" s="53"/>
      <c r="S25" s="53"/>
      <c r="T25" s="53"/>
      <c r="U25" s="771"/>
      <c r="V25" s="1021"/>
      <c r="W25" s="1022"/>
      <c r="X25" s="1022"/>
      <c r="Y25" s="1022"/>
    </row>
    <row r="26" spans="1:25" ht="13.5" customHeight="1">
      <c r="A26" s="1200" t="s">
        <v>812</v>
      </c>
      <c r="B26" s="1200"/>
      <c r="C26" s="1200"/>
      <c r="D26" s="1200"/>
      <c r="E26" s="1200"/>
      <c r="F26" s="1200"/>
      <c r="G26" s="1200"/>
      <c r="H26" s="1200"/>
      <c r="I26" s="1200"/>
      <c r="J26" s="1200"/>
      <c r="K26" s="1200"/>
      <c r="L26" s="1200"/>
      <c r="M26" s="1200"/>
      <c r="N26" s="1200"/>
      <c r="O26" s="1200"/>
      <c r="P26" s="1200"/>
      <c r="Q26" s="1200"/>
      <c r="R26" s="1200"/>
      <c r="S26" s="1200"/>
      <c r="T26" s="1200"/>
      <c r="U26" s="1200"/>
      <c r="V26" s="1200"/>
      <c r="W26" s="1200"/>
      <c r="X26" s="1200"/>
      <c r="Y26" s="1200"/>
    </row>
    <row r="27" spans="1:25" ht="13.5" customHeight="1">
      <c r="A27" s="1200" t="s">
        <v>813</v>
      </c>
      <c r="B27" s="1200"/>
      <c r="C27" s="1200"/>
      <c r="D27" s="1200"/>
      <c r="E27" s="1200"/>
      <c r="F27" s="1200"/>
      <c r="G27" s="1200"/>
      <c r="H27" s="1200"/>
      <c r="I27" s="1200"/>
      <c r="J27" s="1200"/>
      <c r="K27" s="1200"/>
      <c r="L27" s="1200"/>
      <c r="M27" s="1200"/>
      <c r="N27" s="1200"/>
      <c r="O27" s="1200"/>
      <c r="P27" s="1200"/>
      <c r="Q27" s="1200"/>
      <c r="R27" s="1200"/>
      <c r="S27" s="1200"/>
      <c r="T27" s="1200"/>
      <c r="U27" s="1200"/>
      <c r="V27" s="1200"/>
      <c r="W27" s="1200"/>
      <c r="X27" s="1200"/>
      <c r="Y27" s="1200"/>
    </row>
    <row r="28" spans="1:25" ht="12.75">
      <c r="A28" s="65"/>
      <c r="B28" s="1016"/>
      <c r="C28" s="1016"/>
      <c r="D28" s="1016"/>
      <c r="E28" s="1016"/>
      <c r="F28" s="1016"/>
      <c r="G28" s="1016"/>
      <c r="H28" s="1016"/>
      <c r="I28" s="1016"/>
      <c r="J28" s="1016"/>
      <c r="K28" s="1016"/>
      <c r="L28" s="1016"/>
      <c r="M28" s="1016"/>
      <c r="N28" s="1016"/>
      <c r="O28" s="1016"/>
      <c r="P28" s="1016"/>
      <c r="Q28" s="1016"/>
      <c r="R28" s="1016"/>
      <c r="S28" s="1016"/>
      <c r="T28" s="1016"/>
      <c r="U28" s="1017"/>
      <c r="V28" s="1018"/>
      <c r="W28" s="1019"/>
      <c r="X28" s="1019"/>
      <c r="Y28" s="1008"/>
    </row>
    <row r="29" spans="1:25" ht="12.75">
      <c r="A29" s="65"/>
      <c r="B29" s="1016"/>
      <c r="C29" s="1016"/>
      <c r="D29" s="1016"/>
      <c r="E29" s="1016"/>
      <c r="F29" s="1016"/>
      <c r="G29" s="1016"/>
      <c r="H29" s="1016"/>
      <c r="I29" s="1016"/>
      <c r="J29" s="1016"/>
      <c r="K29" s="1016"/>
      <c r="L29" s="1016"/>
      <c r="M29" s="1016"/>
      <c r="N29" s="1016"/>
      <c r="O29" s="1016"/>
      <c r="P29" s="1016"/>
      <c r="Q29" s="1016"/>
      <c r="R29" s="1016"/>
      <c r="S29" s="1016"/>
      <c r="T29" s="1016"/>
      <c r="U29" s="1017"/>
      <c r="V29" s="1018"/>
      <c r="W29" s="1019"/>
      <c r="X29" s="1019"/>
      <c r="Y29" s="1008"/>
    </row>
    <row r="30" spans="1:25" ht="12.75">
      <c r="A30" s="65"/>
      <c r="B30" s="65"/>
      <c r="C30" s="65"/>
      <c r="D30" s="65"/>
      <c r="E30" s="65"/>
      <c r="F30" s="65"/>
      <c r="G30" s="65"/>
      <c r="H30" s="65"/>
      <c r="I30" s="65"/>
      <c r="J30" s="65"/>
      <c r="K30" s="65"/>
      <c r="L30" s="65"/>
      <c r="M30" s="65"/>
      <c r="N30" s="65"/>
      <c r="O30" s="65"/>
      <c r="P30" s="65"/>
      <c r="Q30" s="65"/>
      <c r="R30" s="65"/>
      <c r="S30" s="65"/>
      <c r="T30" s="65"/>
      <c r="U30" s="753"/>
      <c r="V30" s="1007"/>
      <c r="W30" s="1008"/>
      <c r="X30" s="1008"/>
      <c r="Y30" s="1008"/>
    </row>
    <row r="31" spans="1:25" ht="12.75">
      <c r="A31" s="65"/>
      <c r="B31" s="65"/>
      <c r="C31" s="65"/>
      <c r="D31" s="65"/>
      <c r="E31" s="65"/>
      <c r="F31" s="65"/>
      <c r="G31" s="65"/>
      <c r="H31" s="65"/>
      <c r="I31" s="65"/>
      <c r="J31" s="65"/>
      <c r="K31" s="65"/>
      <c r="L31" s="65"/>
      <c r="M31" s="65"/>
      <c r="N31" s="65"/>
      <c r="O31" s="65"/>
      <c r="P31" s="65"/>
      <c r="Q31" s="65"/>
      <c r="R31" s="65"/>
      <c r="S31" s="65"/>
      <c r="T31" s="65"/>
      <c r="U31" s="753"/>
      <c r="V31" s="1007"/>
      <c r="W31" s="1008"/>
      <c r="X31" s="1008"/>
      <c r="Y31" s="1008"/>
    </row>
    <row r="32" spans="1:25" ht="12.75">
      <c r="A32" s="65"/>
      <c r="B32" s="65"/>
      <c r="C32" s="65"/>
      <c r="D32" s="65"/>
      <c r="E32" s="65"/>
      <c r="F32" s="65"/>
      <c r="G32" s="65"/>
      <c r="H32" s="65"/>
      <c r="I32" s="65"/>
      <c r="J32" s="65"/>
      <c r="K32" s="65"/>
      <c r="L32" s="65"/>
      <c r="M32" s="65"/>
      <c r="N32" s="65"/>
      <c r="O32" s="65"/>
      <c r="P32" s="65"/>
      <c r="Q32" s="65"/>
      <c r="R32" s="65"/>
      <c r="S32" s="65"/>
      <c r="T32" s="65"/>
      <c r="U32" s="753"/>
      <c r="V32" s="1007"/>
      <c r="W32" s="1008"/>
      <c r="X32" s="1008"/>
      <c r="Y32" s="1008"/>
    </row>
    <row r="33" spans="1:25" ht="12.75">
      <c r="A33" s="65"/>
      <c r="B33" s="65"/>
      <c r="C33" s="65"/>
      <c r="D33" s="65"/>
      <c r="E33" s="65"/>
      <c r="F33" s="65"/>
      <c r="G33" s="65"/>
      <c r="H33" s="65"/>
      <c r="I33" s="65"/>
      <c r="J33" s="65"/>
      <c r="K33" s="65"/>
      <c r="L33" s="65"/>
      <c r="M33" s="65"/>
      <c r="N33" s="65"/>
      <c r="O33" s="65"/>
      <c r="P33" s="65"/>
      <c r="Q33" s="65"/>
      <c r="R33" s="65"/>
      <c r="S33" s="65"/>
      <c r="T33" s="65"/>
      <c r="U33" s="753"/>
      <c r="V33" s="1007"/>
      <c r="W33" s="1008"/>
      <c r="X33" s="1008"/>
      <c r="Y33" s="1008"/>
    </row>
    <row r="34" spans="1:25" ht="12.75">
      <c r="A34" s="65"/>
      <c r="B34" s="65"/>
      <c r="C34" s="65"/>
      <c r="D34" s="65"/>
      <c r="E34" s="65"/>
      <c r="F34" s="65"/>
      <c r="G34" s="65"/>
      <c r="H34" s="65"/>
      <c r="I34" s="65"/>
      <c r="J34" s="65"/>
      <c r="K34" s="65"/>
      <c r="L34" s="65"/>
      <c r="M34" s="65"/>
      <c r="N34" s="65"/>
      <c r="O34" s="65"/>
      <c r="P34" s="65"/>
      <c r="Q34" s="65"/>
      <c r="R34" s="65"/>
      <c r="S34" s="65"/>
      <c r="T34" s="65"/>
      <c r="U34" s="753"/>
      <c r="V34" s="1007"/>
      <c r="W34" s="1008"/>
      <c r="X34" s="1008"/>
      <c r="Y34" s="1008"/>
    </row>
    <row r="35" spans="1:25" ht="12.75">
      <c r="A35" s="65"/>
      <c r="B35" s="65"/>
      <c r="C35" s="65"/>
      <c r="D35" s="65"/>
      <c r="E35" s="65"/>
      <c r="F35" s="65"/>
      <c r="G35" s="65"/>
      <c r="H35" s="65"/>
      <c r="I35" s="65"/>
      <c r="J35" s="65"/>
      <c r="K35" s="65"/>
      <c r="L35" s="65"/>
      <c r="M35" s="65"/>
      <c r="N35" s="65"/>
      <c r="O35" s="65"/>
      <c r="P35" s="65"/>
      <c r="Q35" s="65"/>
      <c r="R35" s="65"/>
      <c r="S35" s="65"/>
      <c r="T35" s="65"/>
      <c r="U35" s="753"/>
      <c r="V35" s="1007"/>
      <c r="W35" s="1008"/>
      <c r="X35" s="1008"/>
      <c r="Y35" s="1008"/>
    </row>
    <row r="36" spans="1:25" ht="12.75">
      <c r="A36" s="65"/>
      <c r="B36" s="65"/>
      <c r="C36" s="65"/>
      <c r="D36" s="65"/>
      <c r="E36" s="65"/>
      <c r="F36" s="65"/>
      <c r="G36" s="65"/>
      <c r="H36" s="65"/>
      <c r="I36" s="65"/>
      <c r="J36" s="65"/>
      <c r="K36" s="65"/>
      <c r="L36" s="65"/>
      <c r="M36" s="65"/>
      <c r="N36" s="65"/>
      <c r="O36" s="65"/>
      <c r="P36" s="65"/>
      <c r="Q36" s="65"/>
      <c r="R36" s="65"/>
      <c r="S36" s="65"/>
      <c r="T36" s="65"/>
      <c r="U36" s="753"/>
      <c r="V36" s="1007"/>
      <c r="W36" s="1008"/>
      <c r="X36" s="1008"/>
      <c r="Y36" s="1008"/>
    </row>
    <row r="37" spans="1:25" ht="12.75">
      <c r="A37" s="65"/>
      <c r="B37" s="65"/>
      <c r="C37" s="65"/>
      <c r="D37" s="65"/>
      <c r="E37" s="65"/>
      <c r="F37" s="65"/>
      <c r="G37" s="65"/>
      <c r="H37" s="65"/>
      <c r="I37" s="65"/>
      <c r="J37" s="65"/>
      <c r="K37" s="65"/>
      <c r="L37" s="65"/>
      <c r="M37" s="65"/>
      <c r="N37" s="65"/>
      <c r="O37" s="65"/>
      <c r="P37" s="65"/>
      <c r="Q37" s="65"/>
      <c r="R37" s="65"/>
      <c r="S37" s="65"/>
      <c r="T37" s="65"/>
      <c r="U37" s="753"/>
      <c r="V37" s="1007"/>
      <c r="W37" s="1008"/>
      <c r="X37" s="1008"/>
      <c r="Y37" s="1008"/>
    </row>
    <row r="38" spans="1:25" ht="12.75">
      <c r="A38" s="65"/>
      <c r="B38" s="65"/>
      <c r="C38" s="65"/>
      <c r="D38" s="65"/>
      <c r="E38" s="65"/>
      <c r="F38" s="65"/>
      <c r="G38" s="65"/>
      <c r="H38" s="65"/>
      <c r="I38" s="65"/>
      <c r="J38" s="65"/>
      <c r="K38" s="65"/>
      <c r="L38" s="65"/>
      <c r="M38" s="65"/>
      <c r="N38" s="65"/>
      <c r="O38" s="65"/>
      <c r="P38" s="65"/>
      <c r="Q38" s="65"/>
      <c r="R38" s="65"/>
      <c r="S38" s="65"/>
      <c r="T38" s="65"/>
      <c r="U38" s="753"/>
      <c r="V38" s="1007"/>
      <c r="W38" s="1008"/>
      <c r="X38" s="1008"/>
      <c r="Y38" s="1008"/>
    </row>
    <row r="39" spans="1:25" ht="12.75">
      <c r="A39" s="65"/>
      <c r="B39" s="65"/>
      <c r="C39" s="65"/>
      <c r="D39" s="65"/>
      <c r="E39" s="65"/>
      <c r="F39" s="65"/>
      <c r="G39" s="65"/>
      <c r="H39" s="65"/>
      <c r="I39" s="65"/>
      <c r="J39" s="65"/>
      <c r="K39" s="65"/>
      <c r="L39" s="65"/>
      <c r="M39" s="65"/>
      <c r="N39" s="65"/>
      <c r="O39" s="65"/>
      <c r="P39" s="65"/>
      <c r="Q39" s="65"/>
      <c r="R39" s="65"/>
      <c r="S39" s="65"/>
      <c r="T39" s="65"/>
      <c r="U39" s="753"/>
      <c r="V39" s="1007"/>
      <c r="W39" s="1008"/>
      <c r="X39" s="1008"/>
      <c r="Y39" s="1008"/>
    </row>
    <row r="40" spans="1:25" ht="12.75">
      <c r="A40" s="65"/>
      <c r="B40" s="65"/>
      <c r="C40" s="65"/>
      <c r="D40" s="65"/>
      <c r="E40" s="65"/>
      <c r="F40" s="65"/>
      <c r="G40" s="65"/>
      <c r="H40" s="65"/>
      <c r="I40" s="65"/>
      <c r="J40" s="65"/>
      <c r="K40" s="65"/>
      <c r="L40" s="65"/>
      <c r="M40" s="65"/>
      <c r="N40" s="65"/>
      <c r="O40" s="65"/>
      <c r="P40" s="65"/>
      <c r="Q40" s="65"/>
      <c r="R40" s="65"/>
      <c r="S40" s="65"/>
      <c r="T40" s="65"/>
      <c r="U40" s="753"/>
      <c r="V40" s="1007"/>
      <c r="W40" s="1008"/>
      <c r="X40" s="1008"/>
      <c r="Y40" s="1008"/>
    </row>
    <row r="41" spans="1:25" ht="12.75">
      <c r="A41" s="65"/>
      <c r="B41" s="65"/>
      <c r="C41" s="65"/>
      <c r="D41" s="65"/>
      <c r="E41" s="65"/>
      <c r="F41" s="65"/>
      <c r="G41" s="65"/>
      <c r="H41" s="65"/>
      <c r="I41" s="65"/>
      <c r="J41" s="65"/>
      <c r="K41" s="65"/>
      <c r="L41" s="65"/>
      <c r="M41" s="65"/>
      <c r="N41" s="65"/>
      <c r="O41" s="65"/>
      <c r="P41" s="65"/>
      <c r="Q41" s="65"/>
      <c r="R41" s="65"/>
      <c r="S41" s="65"/>
      <c r="T41" s="65"/>
      <c r="U41" s="753"/>
      <c r="V41" s="1007"/>
      <c r="W41" s="1008"/>
      <c r="X41" s="1008"/>
      <c r="Y41" s="1008"/>
    </row>
    <row r="42" spans="1:25" ht="12.75">
      <c r="A42" s="65"/>
      <c r="B42" s="65"/>
      <c r="C42" s="65"/>
      <c r="D42" s="65"/>
      <c r="E42" s="65"/>
      <c r="F42" s="65"/>
      <c r="G42" s="65"/>
      <c r="H42" s="65"/>
      <c r="I42" s="65"/>
      <c r="J42" s="65"/>
      <c r="K42" s="65"/>
      <c r="L42" s="65"/>
      <c r="M42" s="65"/>
      <c r="N42" s="65"/>
      <c r="O42" s="65"/>
      <c r="P42" s="65"/>
      <c r="Q42" s="65"/>
      <c r="R42" s="65"/>
      <c r="S42" s="65"/>
      <c r="T42" s="65"/>
      <c r="U42" s="753"/>
      <c r="V42" s="1007"/>
      <c r="W42" s="1008"/>
      <c r="X42" s="1008"/>
      <c r="Y42" s="1008"/>
    </row>
    <row r="43" spans="1:25" ht="12.75">
      <c r="A43" s="65"/>
      <c r="B43" s="65"/>
      <c r="C43" s="65"/>
      <c r="D43" s="65"/>
      <c r="E43" s="65"/>
      <c r="F43" s="65"/>
      <c r="G43" s="65"/>
      <c r="H43" s="65"/>
      <c r="I43" s="65"/>
      <c r="J43" s="65"/>
      <c r="K43" s="65"/>
      <c r="L43" s="65"/>
      <c r="M43" s="65"/>
      <c r="N43" s="65"/>
      <c r="O43" s="65"/>
      <c r="P43" s="65"/>
      <c r="Q43" s="65"/>
      <c r="R43" s="65"/>
      <c r="S43" s="65"/>
      <c r="T43" s="65"/>
      <c r="U43" s="753"/>
      <c r="V43" s="1007"/>
      <c r="W43" s="1008"/>
      <c r="X43" s="1008"/>
      <c r="Y43" s="1008"/>
    </row>
    <row r="44" spans="1:25" ht="12.75">
      <c r="A44" s="65"/>
      <c r="B44" s="65"/>
      <c r="C44" s="65"/>
      <c r="D44" s="65"/>
      <c r="E44" s="65"/>
      <c r="F44" s="65"/>
      <c r="G44" s="65"/>
      <c r="H44" s="65"/>
      <c r="I44" s="65"/>
      <c r="J44" s="65"/>
      <c r="K44" s="65"/>
      <c r="L44" s="65"/>
      <c r="M44" s="65"/>
      <c r="N44" s="65"/>
      <c r="O44" s="65"/>
      <c r="P44" s="65"/>
      <c r="Q44" s="65"/>
      <c r="R44" s="65"/>
      <c r="S44" s="65"/>
      <c r="T44" s="65"/>
      <c r="U44" s="753"/>
      <c r="V44" s="1007"/>
      <c r="W44" s="1008"/>
      <c r="X44" s="1008"/>
      <c r="Y44" s="1008"/>
    </row>
    <row r="45" spans="1:25" ht="12.75">
      <c r="A45" s="65"/>
      <c r="B45" s="65"/>
      <c r="C45" s="65"/>
      <c r="D45" s="65"/>
      <c r="E45" s="65"/>
      <c r="F45" s="65"/>
      <c r="G45" s="65"/>
      <c r="H45" s="65"/>
      <c r="I45" s="65"/>
      <c r="J45" s="65"/>
      <c r="K45" s="65"/>
      <c r="L45" s="65"/>
      <c r="M45" s="65"/>
      <c r="N45" s="65"/>
      <c r="O45" s="65"/>
      <c r="P45" s="65"/>
      <c r="Q45" s="65"/>
      <c r="R45" s="65"/>
      <c r="S45" s="65"/>
      <c r="T45" s="65"/>
      <c r="U45" s="753"/>
      <c r="V45" s="1007"/>
      <c r="W45" s="1008"/>
      <c r="X45" s="1008"/>
      <c r="Y45" s="1008"/>
    </row>
    <row r="46" spans="1:25" ht="12.75">
      <c r="A46" s="65"/>
      <c r="B46" s="65"/>
      <c r="C46" s="65"/>
      <c r="D46" s="65"/>
      <c r="E46" s="65"/>
      <c r="F46" s="65"/>
      <c r="G46" s="65"/>
      <c r="H46" s="65"/>
      <c r="I46" s="65"/>
      <c r="J46" s="65"/>
      <c r="K46" s="65"/>
      <c r="L46" s="65"/>
      <c r="M46" s="65"/>
      <c r="N46" s="65"/>
      <c r="O46" s="65"/>
      <c r="P46" s="65"/>
      <c r="Q46" s="65"/>
      <c r="R46" s="65"/>
      <c r="S46" s="65"/>
      <c r="T46" s="65"/>
      <c r="U46" s="753"/>
      <c r="V46" s="1007"/>
      <c r="W46" s="1008"/>
      <c r="X46" s="1008"/>
      <c r="Y46" s="1008"/>
    </row>
    <row r="47" spans="1:25" ht="12.75">
      <c r="A47" s="65"/>
      <c r="B47" s="65"/>
      <c r="C47" s="65"/>
      <c r="D47" s="65"/>
      <c r="E47" s="65"/>
      <c r="F47" s="65"/>
      <c r="G47" s="65"/>
      <c r="H47" s="65"/>
      <c r="I47" s="65"/>
      <c r="J47" s="65"/>
      <c r="K47" s="65"/>
      <c r="L47" s="65"/>
      <c r="M47" s="65"/>
      <c r="N47" s="65"/>
      <c r="O47" s="65"/>
      <c r="P47" s="65"/>
      <c r="Q47" s="65"/>
      <c r="R47" s="65"/>
      <c r="S47" s="65"/>
      <c r="T47" s="65"/>
      <c r="U47" s="753"/>
      <c r="V47" s="1007"/>
      <c r="W47" s="1008"/>
      <c r="X47" s="1008"/>
      <c r="Y47" s="1008"/>
    </row>
    <row r="48" spans="1:25" ht="12.75">
      <c r="A48" s="65"/>
      <c r="B48" s="65"/>
      <c r="C48" s="65"/>
      <c r="D48" s="65"/>
      <c r="E48" s="65"/>
      <c r="F48" s="65"/>
      <c r="G48" s="65"/>
      <c r="H48" s="65"/>
      <c r="I48" s="65"/>
      <c r="J48" s="65"/>
      <c r="K48" s="65"/>
      <c r="L48" s="65"/>
      <c r="M48" s="65"/>
      <c r="N48" s="65"/>
      <c r="O48" s="65"/>
      <c r="P48" s="65"/>
      <c r="Q48" s="65"/>
      <c r="R48" s="65"/>
      <c r="S48" s="65"/>
      <c r="T48" s="65"/>
      <c r="U48" s="753"/>
      <c r="V48" s="1007"/>
      <c r="W48" s="1008"/>
      <c r="X48" s="1008"/>
      <c r="Y48" s="1008"/>
    </row>
    <row r="49" spans="1:25" ht="12.75">
      <c r="A49" s="65"/>
      <c r="B49" s="65"/>
      <c r="C49" s="65"/>
      <c r="D49" s="65"/>
      <c r="E49" s="65"/>
      <c r="F49" s="65"/>
      <c r="G49" s="65"/>
      <c r="H49" s="65"/>
      <c r="I49" s="65"/>
      <c r="J49" s="65"/>
      <c r="K49" s="65"/>
      <c r="L49" s="65"/>
      <c r="M49" s="65"/>
      <c r="N49" s="65"/>
      <c r="O49" s="65"/>
      <c r="P49" s="65"/>
      <c r="Q49" s="65"/>
      <c r="R49" s="65"/>
      <c r="S49" s="65"/>
      <c r="T49" s="65"/>
      <c r="U49" s="753"/>
      <c r="V49" s="1007"/>
      <c r="W49" s="1008"/>
      <c r="X49" s="1008"/>
      <c r="Y49" s="1008"/>
    </row>
  </sheetData>
  <sheetProtection/>
  <mergeCells count="9">
    <mergeCell ref="A20:W20"/>
    <mergeCell ref="A26:Y26"/>
    <mergeCell ref="A27:Y27"/>
    <mergeCell ref="A2:Y2"/>
    <mergeCell ref="A3:Y3"/>
    <mergeCell ref="A4:Y4"/>
    <mergeCell ref="A11:Y11"/>
    <mergeCell ref="A12:Y12"/>
    <mergeCell ref="A13:Y13"/>
  </mergeCells>
  <printOptions horizontalCentered="1"/>
  <pageMargins left="0.39000000000000007" right="0.39000000000000007" top="1.18" bottom="0.7900000000000001" header="0.31" footer="0.31"/>
  <pageSetup fitToHeight="1" fitToWidth="1" horizontalDpi="600" verticalDpi="600" orientation="landscape" scale="46" r:id="rId1"/>
</worksheet>
</file>

<file path=xl/worksheets/sheet44.xml><?xml version="1.0" encoding="utf-8"?>
<worksheet xmlns="http://schemas.openxmlformats.org/spreadsheetml/2006/main" xmlns:r="http://schemas.openxmlformats.org/officeDocument/2006/relationships">
  <sheetPr>
    <tabColor rgb="FF660066"/>
    <pageSetUpPr fitToPage="1"/>
  </sheetPr>
  <dimension ref="A1:G55"/>
  <sheetViews>
    <sheetView zoomScalePageLayoutView="0" workbookViewId="0" topLeftCell="A37">
      <selection activeCell="A55" sqref="A55"/>
    </sheetView>
  </sheetViews>
  <sheetFormatPr defaultColWidth="10.8515625" defaultRowHeight="12.75"/>
  <cols>
    <col min="1" max="1" width="8.8515625" style="93" customWidth="1"/>
    <col min="2" max="4" width="14.8515625" style="93" customWidth="1"/>
    <col min="5" max="16384" width="10.8515625" style="90" customWidth="1"/>
  </cols>
  <sheetData>
    <row r="1" spans="1:4" ht="12.75" customHeight="1">
      <c r="A1" s="1205" t="s">
        <v>420</v>
      </c>
      <c r="B1" s="1202"/>
      <c r="C1" s="1202"/>
      <c r="D1" s="1202"/>
    </row>
    <row r="2" spans="1:4" ht="12.75" customHeight="1">
      <c r="A2" s="1202"/>
      <c r="B2" s="1202"/>
      <c r="C2" s="1202"/>
      <c r="D2" s="1202"/>
    </row>
    <row r="3" spans="1:4" s="91" customFormat="1" ht="18" customHeight="1">
      <c r="A3" s="1203" t="s">
        <v>421</v>
      </c>
      <c r="B3" s="1203"/>
      <c r="C3" s="1203"/>
      <c r="D3" s="1203"/>
    </row>
    <row r="4" spans="1:4" s="91" customFormat="1" ht="18" customHeight="1">
      <c r="A4" s="1204" t="s">
        <v>422</v>
      </c>
      <c r="B4" s="1204"/>
      <c r="C4" s="1204"/>
      <c r="D4" s="1204"/>
    </row>
    <row r="5" spans="1:4" ht="12.75">
      <c r="A5" s="92"/>
      <c r="B5" s="92"/>
      <c r="C5" s="92"/>
      <c r="D5" s="92"/>
    </row>
    <row r="6" spans="1:4" s="104" customFormat="1" ht="36" customHeight="1">
      <c r="A6" s="142" t="s">
        <v>423</v>
      </c>
      <c r="B6" s="143" t="s">
        <v>424</v>
      </c>
      <c r="C6" s="143" t="s">
        <v>425</v>
      </c>
      <c r="D6" s="142" t="s">
        <v>61</v>
      </c>
    </row>
    <row r="7" spans="1:4" ht="18" customHeight="1">
      <c r="A7" s="93">
        <v>1924</v>
      </c>
      <c r="B7" s="94">
        <v>2328</v>
      </c>
      <c r="C7" s="94">
        <v>7294</v>
      </c>
      <c r="D7" s="94">
        <f aca="true" t="shared" si="0" ref="D7:D52">SUM(B7+C7)</f>
        <v>9622</v>
      </c>
    </row>
    <row r="8" spans="1:4" ht="18" customHeight="1">
      <c r="A8" s="93">
        <v>1925</v>
      </c>
      <c r="B8" s="94">
        <v>2810</v>
      </c>
      <c r="C8" s="94">
        <v>7776</v>
      </c>
      <c r="D8" s="94">
        <f t="shared" si="0"/>
        <v>10586</v>
      </c>
    </row>
    <row r="9" spans="1:4" ht="18" customHeight="1">
      <c r="A9" s="93">
        <v>1926</v>
      </c>
      <c r="B9" s="94">
        <v>1772</v>
      </c>
      <c r="C9" s="94">
        <v>8407</v>
      </c>
      <c r="D9" s="94">
        <f t="shared" si="0"/>
        <v>10179</v>
      </c>
    </row>
    <row r="10" spans="1:4" ht="18" customHeight="1">
      <c r="A10" s="93">
        <v>1927</v>
      </c>
      <c r="B10" s="94">
        <v>1479</v>
      </c>
      <c r="C10" s="94">
        <v>6952</v>
      </c>
      <c r="D10" s="94">
        <f t="shared" si="0"/>
        <v>8431</v>
      </c>
    </row>
    <row r="11" spans="1:4" ht="18" customHeight="1">
      <c r="A11" s="93">
        <v>1928</v>
      </c>
      <c r="B11" s="94">
        <v>1315</v>
      </c>
      <c r="C11" s="94">
        <v>7275</v>
      </c>
      <c r="D11" s="94">
        <f t="shared" si="0"/>
        <v>8590</v>
      </c>
    </row>
    <row r="12" spans="1:4" ht="18" customHeight="1">
      <c r="A12" s="93">
        <v>1929</v>
      </c>
      <c r="B12" s="94">
        <v>1388</v>
      </c>
      <c r="C12" s="94">
        <v>5368</v>
      </c>
      <c r="D12" s="94">
        <f t="shared" si="0"/>
        <v>6756</v>
      </c>
    </row>
    <row r="13" spans="1:4" ht="18" customHeight="1">
      <c r="A13" s="93">
        <v>1930</v>
      </c>
      <c r="B13" s="94">
        <v>1528</v>
      </c>
      <c r="C13" s="94">
        <v>6503</v>
      </c>
      <c r="D13" s="94">
        <f t="shared" si="0"/>
        <v>8031</v>
      </c>
    </row>
    <row r="14" spans="1:4" ht="18" customHeight="1">
      <c r="A14" s="93">
        <v>1931</v>
      </c>
      <c r="B14" s="94">
        <v>1438</v>
      </c>
      <c r="C14" s="94">
        <v>6799</v>
      </c>
      <c r="D14" s="94">
        <f t="shared" si="0"/>
        <v>8237</v>
      </c>
    </row>
    <row r="15" spans="1:4" ht="18" customHeight="1">
      <c r="A15" s="93">
        <v>1932</v>
      </c>
      <c r="B15" s="94">
        <v>1462</v>
      </c>
      <c r="C15" s="94">
        <v>7544</v>
      </c>
      <c r="D15" s="94">
        <f t="shared" si="0"/>
        <v>9006</v>
      </c>
    </row>
    <row r="16" spans="1:4" ht="18" customHeight="1">
      <c r="A16" s="93">
        <v>1933</v>
      </c>
      <c r="B16" s="94">
        <v>1381</v>
      </c>
      <c r="C16" s="94">
        <v>6834</v>
      </c>
      <c r="D16" s="94">
        <f t="shared" si="0"/>
        <v>8215</v>
      </c>
    </row>
    <row r="17" spans="1:4" ht="18" customHeight="1">
      <c r="A17" s="93">
        <v>1934</v>
      </c>
      <c r="B17" s="94">
        <v>1649</v>
      </c>
      <c r="C17" s="94">
        <v>6083</v>
      </c>
      <c r="D17" s="94">
        <f t="shared" si="0"/>
        <v>7732</v>
      </c>
    </row>
    <row r="18" spans="1:4" ht="18" customHeight="1">
      <c r="A18" s="93">
        <v>1935</v>
      </c>
      <c r="B18" s="94">
        <v>2065</v>
      </c>
      <c r="C18" s="94">
        <v>6168</v>
      </c>
      <c r="D18" s="94">
        <f t="shared" si="0"/>
        <v>8233</v>
      </c>
    </row>
    <row r="19" spans="1:4" ht="18" customHeight="1">
      <c r="A19" s="93">
        <v>1936</v>
      </c>
      <c r="B19" s="94">
        <v>2672</v>
      </c>
      <c r="C19" s="94">
        <v>7132</v>
      </c>
      <c r="D19" s="94">
        <f t="shared" si="0"/>
        <v>9804</v>
      </c>
    </row>
    <row r="20" spans="1:4" ht="18" customHeight="1">
      <c r="A20" s="93">
        <v>1937</v>
      </c>
      <c r="B20" s="94">
        <v>3181</v>
      </c>
      <c r="C20" s="94">
        <v>8240</v>
      </c>
      <c r="D20" s="94">
        <f t="shared" si="0"/>
        <v>11421</v>
      </c>
    </row>
    <row r="21" spans="1:4" ht="18" customHeight="1">
      <c r="A21" s="93">
        <v>1938</v>
      </c>
      <c r="B21" s="94">
        <v>3358</v>
      </c>
      <c r="C21" s="94">
        <v>9267</v>
      </c>
      <c r="D21" s="94">
        <f t="shared" si="0"/>
        <v>12625</v>
      </c>
    </row>
    <row r="22" spans="1:4" ht="18" customHeight="1">
      <c r="A22" s="93">
        <v>1939</v>
      </c>
      <c r="B22" s="94">
        <v>3372</v>
      </c>
      <c r="C22" s="94">
        <v>9597</v>
      </c>
      <c r="D22" s="94">
        <f t="shared" si="0"/>
        <v>12969</v>
      </c>
    </row>
    <row r="23" spans="1:4" ht="18" customHeight="1">
      <c r="A23" s="93">
        <v>1940</v>
      </c>
      <c r="B23" s="94">
        <v>4465</v>
      </c>
      <c r="C23" s="94">
        <v>10670</v>
      </c>
      <c r="D23" s="94">
        <f t="shared" si="0"/>
        <v>15135</v>
      </c>
    </row>
    <row r="24" spans="1:4" ht="18" customHeight="1">
      <c r="A24" s="93">
        <v>1941</v>
      </c>
      <c r="B24" s="94">
        <v>5084</v>
      </c>
      <c r="C24" s="94">
        <v>11199</v>
      </c>
      <c r="D24" s="94">
        <f t="shared" si="0"/>
        <v>16283</v>
      </c>
    </row>
    <row r="25" spans="1:4" ht="18" customHeight="1">
      <c r="A25" s="93">
        <v>1942</v>
      </c>
      <c r="B25" s="94">
        <v>5578</v>
      </c>
      <c r="C25" s="94">
        <v>11931</v>
      </c>
      <c r="D25" s="94">
        <f t="shared" si="0"/>
        <v>17509</v>
      </c>
    </row>
    <row r="26" spans="1:4" ht="18" customHeight="1">
      <c r="A26" s="93">
        <v>1943</v>
      </c>
      <c r="B26" s="94">
        <v>6080</v>
      </c>
      <c r="C26" s="94">
        <v>14570</v>
      </c>
      <c r="D26" s="94">
        <f t="shared" si="0"/>
        <v>20650</v>
      </c>
    </row>
    <row r="27" spans="1:4" ht="18" customHeight="1">
      <c r="A27" s="93">
        <v>1944</v>
      </c>
      <c r="B27" s="94">
        <v>5720</v>
      </c>
      <c r="C27" s="94">
        <v>14397</v>
      </c>
      <c r="D27" s="94">
        <f t="shared" si="0"/>
        <v>20117</v>
      </c>
    </row>
    <row r="28" spans="1:4" ht="18" customHeight="1">
      <c r="A28" s="93">
        <v>1945</v>
      </c>
      <c r="B28" s="94">
        <v>5887</v>
      </c>
      <c r="C28" s="94">
        <v>15507</v>
      </c>
      <c r="D28" s="94">
        <f t="shared" si="0"/>
        <v>21394</v>
      </c>
    </row>
    <row r="29" spans="1:4" ht="18" customHeight="1">
      <c r="A29" s="93">
        <v>1946</v>
      </c>
      <c r="B29" s="94">
        <v>5531</v>
      </c>
      <c r="C29" s="94">
        <v>15432</v>
      </c>
      <c r="D29" s="94">
        <f t="shared" si="0"/>
        <v>20963</v>
      </c>
    </row>
    <row r="30" spans="1:4" ht="18" customHeight="1">
      <c r="A30" s="93">
        <v>1947</v>
      </c>
      <c r="B30" s="94">
        <v>5489</v>
      </c>
      <c r="C30" s="94">
        <v>15015</v>
      </c>
      <c r="D30" s="94">
        <f t="shared" si="0"/>
        <v>20504</v>
      </c>
    </row>
    <row r="31" spans="1:4" ht="18" customHeight="1">
      <c r="A31" s="93">
        <v>1948</v>
      </c>
      <c r="B31" s="94">
        <v>5286</v>
      </c>
      <c r="C31" s="94">
        <v>14670</v>
      </c>
      <c r="D31" s="94">
        <f t="shared" si="0"/>
        <v>19956</v>
      </c>
    </row>
    <row r="32" spans="1:4" ht="18" customHeight="1">
      <c r="A32" s="93">
        <v>1949</v>
      </c>
      <c r="B32" s="94">
        <v>6066</v>
      </c>
      <c r="C32" s="94">
        <v>17126</v>
      </c>
      <c r="D32" s="94">
        <f t="shared" si="0"/>
        <v>23192</v>
      </c>
    </row>
    <row r="33" spans="1:4" ht="18" customHeight="1">
      <c r="A33" s="93">
        <v>1950</v>
      </c>
      <c r="B33" s="94">
        <v>6783</v>
      </c>
      <c r="C33" s="94">
        <v>17271</v>
      </c>
      <c r="D33" s="94">
        <f t="shared" si="0"/>
        <v>24054</v>
      </c>
    </row>
    <row r="34" spans="1:4" ht="18" customHeight="1">
      <c r="A34" s="93">
        <v>1951</v>
      </c>
      <c r="B34" s="94">
        <v>7934</v>
      </c>
      <c r="C34" s="94">
        <v>18893</v>
      </c>
      <c r="D34" s="94">
        <f t="shared" si="0"/>
        <v>26827</v>
      </c>
    </row>
    <row r="35" spans="1:4" ht="18" customHeight="1">
      <c r="A35" s="93">
        <v>1952</v>
      </c>
      <c r="B35" s="94">
        <v>8900</v>
      </c>
      <c r="C35" s="94">
        <v>19392</v>
      </c>
      <c r="D35" s="94">
        <f t="shared" si="0"/>
        <v>28292</v>
      </c>
    </row>
    <row r="36" spans="1:4" ht="18" customHeight="1">
      <c r="A36" s="93">
        <v>1953</v>
      </c>
      <c r="B36" s="94">
        <v>9650</v>
      </c>
      <c r="C36" s="94">
        <v>19957</v>
      </c>
      <c r="D36" s="94">
        <f t="shared" si="0"/>
        <v>29607</v>
      </c>
    </row>
    <row r="37" spans="1:4" ht="18" customHeight="1">
      <c r="A37" s="93">
        <v>1954</v>
      </c>
      <c r="B37" s="94">
        <v>10398</v>
      </c>
      <c r="C37" s="94">
        <v>22254</v>
      </c>
      <c r="D37" s="94">
        <f t="shared" si="0"/>
        <v>32652</v>
      </c>
    </row>
    <row r="38" spans="1:4" ht="18" customHeight="1">
      <c r="A38" s="93">
        <v>1955</v>
      </c>
      <c r="B38" s="94">
        <v>12019</v>
      </c>
      <c r="C38" s="94">
        <v>24146</v>
      </c>
      <c r="D38" s="94">
        <f t="shared" si="0"/>
        <v>36165</v>
      </c>
    </row>
    <row r="39" spans="1:4" ht="18" customHeight="1">
      <c r="A39" s="93">
        <v>1956</v>
      </c>
      <c r="B39" s="94">
        <v>10603</v>
      </c>
      <c r="C39" s="94">
        <v>26140</v>
      </c>
      <c r="D39" s="94">
        <f t="shared" si="0"/>
        <v>36743</v>
      </c>
    </row>
    <row r="40" spans="1:4" ht="18" customHeight="1">
      <c r="A40" s="93">
        <v>1957</v>
      </c>
      <c r="B40" s="94">
        <v>11217</v>
      </c>
      <c r="C40" s="94">
        <v>30087</v>
      </c>
      <c r="D40" s="94">
        <f t="shared" si="0"/>
        <v>41304</v>
      </c>
    </row>
    <row r="41" spans="1:4" ht="18" customHeight="1">
      <c r="A41" s="93">
        <v>1958</v>
      </c>
      <c r="B41" s="94">
        <v>13174</v>
      </c>
      <c r="C41" s="94">
        <v>30750</v>
      </c>
      <c r="D41" s="94">
        <f t="shared" si="0"/>
        <v>43924</v>
      </c>
    </row>
    <row r="42" spans="1:4" ht="18" customHeight="1">
      <c r="A42" s="93">
        <v>1959</v>
      </c>
      <c r="B42" s="94">
        <v>14847</v>
      </c>
      <c r="C42" s="94">
        <v>35104</v>
      </c>
      <c r="D42" s="94">
        <f t="shared" si="0"/>
        <v>49951</v>
      </c>
    </row>
    <row r="43" spans="1:4" ht="18" customHeight="1">
      <c r="A43" s="93">
        <v>1960</v>
      </c>
      <c r="B43" s="94">
        <v>19328</v>
      </c>
      <c r="C43" s="94">
        <v>39213</v>
      </c>
      <c r="D43" s="94">
        <f t="shared" si="0"/>
        <v>58541</v>
      </c>
    </row>
    <row r="44" spans="1:6" ht="18" customHeight="1">
      <c r="A44" s="93">
        <v>1961</v>
      </c>
      <c r="B44" s="94">
        <v>23101</v>
      </c>
      <c r="C44" s="94">
        <v>43769</v>
      </c>
      <c r="D44" s="94">
        <f t="shared" si="0"/>
        <v>66870</v>
      </c>
      <c r="F44" s="274"/>
    </row>
    <row r="45" spans="1:6" ht="18" customHeight="1">
      <c r="A45" s="93">
        <v>1962</v>
      </c>
      <c r="B45" s="94">
        <v>24139</v>
      </c>
      <c r="C45" s="95">
        <v>46407</v>
      </c>
      <c r="D45" s="94">
        <f t="shared" si="0"/>
        <v>70546</v>
      </c>
      <c r="F45" s="274"/>
    </row>
    <row r="46" spans="1:6" ht="18" customHeight="1">
      <c r="A46" s="93">
        <v>1963</v>
      </c>
      <c r="B46" s="94">
        <v>26731</v>
      </c>
      <c r="C46" s="95">
        <v>47332</v>
      </c>
      <c r="D46" s="94">
        <f t="shared" si="0"/>
        <v>74063</v>
      </c>
      <c r="F46" s="274"/>
    </row>
    <row r="47" spans="1:6" ht="18" customHeight="1">
      <c r="A47" s="93">
        <v>1964</v>
      </c>
      <c r="B47" s="94">
        <v>25643</v>
      </c>
      <c r="C47" s="95">
        <v>46932</v>
      </c>
      <c r="D47" s="94">
        <f t="shared" si="0"/>
        <v>72575</v>
      </c>
      <c r="F47" s="274"/>
    </row>
    <row r="48" spans="1:6" ht="18" customHeight="1">
      <c r="A48" s="93">
        <v>1965</v>
      </c>
      <c r="B48" s="94">
        <v>25383</v>
      </c>
      <c r="C48" s="95">
        <v>48468</v>
      </c>
      <c r="D48" s="94">
        <f t="shared" si="0"/>
        <v>73851</v>
      </c>
      <c r="F48" s="274"/>
    </row>
    <row r="49" spans="1:6" ht="18" customHeight="1">
      <c r="A49" s="93">
        <v>1966</v>
      </c>
      <c r="B49" s="94">
        <v>20737</v>
      </c>
      <c r="C49" s="95">
        <v>48387</v>
      </c>
      <c r="D49" s="94">
        <f t="shared" si="0"/>
        <v>69124</v>
      </c>
      <c r="F49" s="274"/>
    </row>
    <row r="50" spans="1:6" ht="18" customHeight="1">
      <c r="A50" s="93">
        <v>1967</v>
      </c>
      <c r="B50" s="94">
        <v>35832</v>
      </c>
      <c r="C50" s="95">
        <v>49970</v>
      </c>
      <c r="D50" s="94">
        <f t="shared" si="0"/>
        <v>85802</v>
      </c>
      <c r="F50" s="274"/>
    </row>
    <row r="51" spans="1:6" ht="18" customHeight="1">
      <c r="A51" s="93">
        <v>1968</v>
      </c>
      <c r="B51" s="94">
        <v>41110</v>
      </c>
      <c r="C51" s="95">
        <v>54478</v>
      </c>
      <c r="D51" s="94">
        <f t="shared" si="0"/>
        <v>95588</v>
      </c>
      <c r="F51" s="274"/>
    </row>
    <row r="52" spans="1:6" ht="18" customHeight="1">
      <c r="A52" s="93">
        <v>1969</v>
      </c>
      <c r="B52" s="94">
        <v>40114</v>
      </c>
      <c r="C52" s="95">
        <v>60640</v>
      </c>
      <c r="D52" s="94">
        <f t="shared" si="0"/>
        <v>100754</v>
      </c>
      <c r="F52" s="274"/>
    </row>
    <row r="53" spans="2:4" ht="12.75">
      <c r="B53" s="96"/>
      <c r="C53" s="96"/>
      <c r="D53" s="96"/>
    </row>
    <row r="54" spans="1:7" s="103" customFormat="1" ht="12" customHeight="1">
      <c r="A54" s="98" t="s">
        <v>745</v>
      </c>
      <c r="B54" s="99"/>
      <c r="C54" s="100"/>
      <c r="D54" s="100"/>
      <c r="E54" s="101"/>
      <c r="F54" s="101"/>
      <c r="G54" s="102"/>
    </row>
    <row r="55" spans="1:4" s="103" customFormat="1" ht="11.25">
      <c r="A55" s="98" t="s">
        <v>426</v>
      </c>
      <c r="B55" s="100"/>
      <c r="C55" s="100"/>
      <c r="D55" s="100"/>
    </row>
  </sheetData>
  <sheetProtection/>
  <mergeCells count="4">
    <mergeCell ref="A2:D2"/>
    <mergeCell ref="A3:D3"/>
    <mergeCell ref="A4:D4"/>
    <mergeCell ref="A1:D1"/>
  </mergeCells>
  <printOptions horizontalCentered="1" verticalCentered="1"/>
  <pageMargins left="0.98" right="0.98" top="0.39000000000000007" bottom="0.39000000000000007" header="0.51" footer="0.51"/>
  <pageSetup fitToHeight="1" fitToWidth="1" orientation="portrait" scale="73"/>
</worksheet>
</file>

<file path=xl/worksheets/sheet45.xml><?xml version="1.0" encoding="utf-8"?>
<worksheet xmlns="http://schemas.openxmlformats.org/spreadsheetml/2006/main" xmlns:r="http://schemas.openxmlformats.org/officeDocument/2006/relationships">
  <sheetPr>
    <tabColor rgb="FF660066"/>
    <pageSetUpPr fitToPage="1"/>
  </sheetPr>
  <dimension ref="A1:K70"/>
  <sheetViews>
    <sheetView zoomScalePageLayoutView="0" workbookViewId="0" topLeftCell="A51">
      <selection activeCell="A67" sqref="A67"/>
    </sheetView>
  </sheetViews>
  <sheetFormatPr defaultColWidth="10.8515625" defaultRowHeight="12.75"/>
  <cols>
    <col min="1" max="1" width="8.8515625" style="90" customWidth="1"/>
    <col min="2" max="6" width="12.8515625" style="90" customWidth="1"/>
    <col min="7" max="16384" width="10.8515625" style="90" customWidth="1"/>
  </cols>
  <sheetData>
    <row r="1" spans="1:6" ht="12.75" customHeight="1">
      <c r="A1" s="1205" t="s">
        <v>427</v>
      </c>
      <c r="B1" s="1202"/>
      <c r="C1" s="1202"/>
      <c r="D1" s="1202"/>
      <c r="E1" s="1202"/>
      <c r="F1" s="1202"/>
    </row>
    <row r="2" spans="1:6" ht="12.75" customHeight="1">
      <c r="A2" s="1202"/>
      <c r="B2" s="1202"/>
      <c r="C2" s="1202"/>
      <c r="D2" s="1202"/>
      <c r="E2" s="1202"/>
      <c r="F2" s="1202"/>
    </row>
    <row r="3" spans="1:6" ht="18" customHeight="1">
      <c r="A3" s="1203" t="s">
        <v>428</v>
      </c>
      <c r="B3" s="1203"/>
      <c r="C3" s="1203"/>
      <c r="D3" s="1203"/>
      <c r="E3" s="1203"/>
      <c r="F3" s="1203"/>
    </row>
    <row r="4" spans="1:6" ht="18" customHeight="1">
      <c r="A4" s="1204" t="s">
        <v>815</v>
      </c>
      <c r="B4" s="1204"/>
      <c r="C4" s="1204"/>
      <c r="D4" s="1204"/>
      <c r="E4" s="1204"/>
      <c r="F4" s="1204"/>
    </row>
    <row r="5" spans="1:6" ht="12.75">
      <c r="A5" s="92"/>
      <c r="B5" s="92"/>
      <c r="C5" s="92"/>
      <c r="D5" s="92"/>
      <c r="E5" s="92"/>
      <c r="F5" s="92"/>
    </row>
    <row r="6" spans="1:6" s="104" customFormat="1" ht="18" customHeight="1">
      <c r="A6" s="142" t="s">
        <v>423</v>
      </c>
      <c r="B6" s="144" t="s">
        <v>429</v>
      </c>
      <c r="C6" s="144" t="s">
        <v>430</v>
      </c>
      <c r="D6" s="144" t="s">
        <v>73</v>
      </c>
      <c r="E6" s="144" t="s">
        <v>74</v>
      </c>
      <c r="F6" s="144" t="s">
        <v>61</v>
      </c>
    </row>
    <row r="7" spans="1:8" ht="18" customHeight="1">
      <c r="A7" s="93">
        <v>1970</v>
      </c>
      <c r="B7" s="274">
        <v>39943</v>
      </c>
      <c r="C7" s="275">
        <f>1081+518</f>
        <v>1599</v>
      </c>
      <c r="D7" s="276">
        <v>61709</v>
      </c>
      <c r="E7" s="105">
        <v>2930</v>
      </c>
      <c r="F7" s="276">
        <f aca="true" t="shared" si="0" ref="F7:F55">SUM(B7:E7)</f>
        <v>106181</v>
      </c>
      <c r="H7" s="274"/>
    </row>
    <row r="8" spans="1:8" ht="18" customHeight="1">
      <c r="A8" s="93">
        <v>1971</v>
      </c>
      <c r="B8" s="274">
        <v>43958</v>
      </c>
      <c r="C8" s="275">
        <v>2273</v>
      </c>
      <c r="D8" s="276">
        <v>77995</v>
      </c>
      <c r="E8" s="275">
        <v>3918</v>
      </c>
      <c r="F8" s="276">
        <f t="shared" si="0"/>
        <v>128144</v>
      </c>
      <c r="H8" s="274"/>
    </row>
    <row r="9" spans="1:8" ht="18" customHeight="1">
      <c r="A9" s="93">
        <v>1972</v>
      </c>
      <c r="B9" s="274">
        <v>42777</v>
      </c>
      <c r="C9" s="275">
        <v>2450</v>
      </c>
      <c r="D9" s="276">
        <v>88665</v>
      </c>
      <c r="E9" s="275">
        <v>3662</v>
      </c>
      <c r="F9" s="276">
        <f t="shared" si="0"/>
        <v>137554</v>
      </c>
      <c r="H9" s="274"/>
    </row>
    <row r="10" spans="1:8" ht="18" customHeight="1">
      <c r="A10" s="93">
        <v>1973</v>
      </c>
      <c r="B10" s="274">
        <v>104648</v>
      </c>
      <c r="C10" s="275">
        <v>2228</v>
      </c>
      <c r="D10" s="276">
        <v>86045</v>
      </c>
      <c r="E10" s="275">
        <v>4970</v>
      </c>
      <c r="F10" s="276">
        <f t="shared" si="0"/>
        <v>197891</v>
      </c>
      <c r="H10" s="274"/>
    </row>
    <row r="11" spans="1:8" ht="18" customHeight="1">
      <c r="A11" s="93">
        <v>1974</v>
      </c>
      <c r="B11" s="274">
        <v>105971</v>
      </c>
      <c r="C11" s="275">
        <v>2241</v>
      </c>
      <c r="D11" s="276">
        <v>103146</v>
      </c>
      <c r="E11" s="275">
        <v>5632</v>
      </c>
      <c r="F11" s="276">
        <f t="shared" si="0"/>
        <v>216990</v>
      </c>
      <c r="H11" s="274"/>
    </row>
    <row r="12" spans="1:8" ht="18" customHeight="1">
      <c r="A12" s="93">
        <v>1975</v>
      </c>
      <c r="B12" s="274">
        <v>111350</v>
      </c>
      <c r="C12" s="275">
        <v>2116</v>
      </c>
      <c r="D12" s="276">
        <v>109516</v>
      </c>
      <c r="E12" s="275">
        <v>6635</v>
      </c>
      <c r="F12" s="276">
        <f t="shared" si="0"/>
        <v>229617</v>
      </c>
      <c r="H12" s="274"/>
    </row>
    <row r="13" spans="1:8" ht="18" customHeight="1">
      <c r="A13" s="93">
        <v>1976</v>
      </c>
      <c r="B13" s="274">
        <v>113547</v>
      </c>
      <c r="C13" s="275">
        <v>2726</v>
      </c>
      <c r="D13" s="276">
        <v>122480</v>
      </c>
      <c r="E13" s="275">
        <v>7184</v>
      </c>
      <c r="F13" s="276">
        <f t="shared" si="0"/>
        <v>245937</v>
      </c>
      <c r="H13" s="274"/>
    </row>
    <row r="14" spans="1:8" ht="18" customHeight="1">
      <c r="A14" s="93">
        <v>1977</v>
      </c>
      <c r="B14" s="274">
        <v>124403</v>
      </c>
      <c r="C14" s="275">
        <v>4487</v>
      </c>
      <c r="D14" s="276">
        <v>142376</v>
      </c>
      <c r="E14" s="275">
        <v>8316</v>
      </c>
      <c r="F14" s="276">
        <f t="shared" si="0"/>
        <v>279582</v>
      </c>
      <c r="H14" s="274"/>
    </row>
    <row r="15" spans="1:8" ht="18" customHeight="1">
      <c r="A15" s="93">
        <v>1978</v>
      </c>
      <c r="B15" s="274">
        <v>129296</v>
      </c>
      <c r="C15" s="275">
        <v>3944</v>
      </c>
      <c r="D15" s="276">
        <v>150226</v>
      </c>
      <c r="E15" s="275">
        <v>8740</v>
      </c>
      <c r="F15" s="276">
        <f t="shared" si="0"/>
        <v>292206</v>
      </c>
      <c r="H15" s="274"/>
    </row>
    <row r="16" spans="1:8" ht="18" customHeight="1">
      <c r="A16" s="93">
        <v>1979</v>
      </c>
      <c r="B16" s="274">
        <v>124246</v>
      </c>
      <c r="C16" s="275">
        <v>4021</v>
      </c>
      <c r="D16" s="276">
        <v>154913</v>
      </c>
      <c r="E16" s="275">
        <v>8730</v>
      </c>
      <c r="F16" s="276">
        <f t="shared" si="0"/>
        <v>291910</v>
      </c>
      <c r="H16" s="274"/>
    </row>
    <row r="17" spans="1:8" ht="18" customHeight="1">
      <c r="A17" s="93">
        <v>1980</v>
      </c>
      <c r="B17" s="274">
        <v>120354</v>
      </c>
      <c r="C17" s="275">
        <v>4691</v>
      </c>
      <c r="D17" s="276">
        <v>136554</v>
      </c>
      <c r="E17" s="275">
        <v>9245</v>
      </c>
      <c r="F17" s="276">
        <f t="shared" si="0"/>
        <v>270844</v>
      </c>
      <c r="H17" s="274"/>
    </row>
    <row r="18" spans="1:8" ht="18" customHeight="1">
      <c r="A18" s="93">
        <v>1981</v>
      </c>
      <c r="B18" s="274">
        <v>120130</v>
      </c>
      <c r="C18" s="275">
        <v>4680</v>
      </c>
      <c r="D18" s="276">
        <v>140254</v>
      </c>
      <c r="E18" s="275">
        <v>9273</v>
      </c>
      <c r="F18" s="276">
        <f t="shared" si="0"/>
        <v>274337</v>
      </c>
      <c r="H18" s="274"/>
    </row>
    <row r="19" spans="1:8" ht="18" customHeight="1">
      <c r="A19" s="93">
        <v>1982</v>
      </c>
      <c r="B19" s="274">
        <v>120284</v>
      </c>
      <c r="C19" s="275">
        <v>4550</v>
      </c>
      <c r="D19" s="276">
        <v>138272</v>
      </c>
      <c r="E19" s="275">
        <v>10164</v>
      </c>
      <c r="F19" s="276">
        <f t="shared" si="0"/>
        <v>273270</v>
      </c>
      <c r="H19" s="274"/>
    </row>
    <row r="20" spans="1:8" ht="18" customHeight="1">
      <c r="A20" s="93">
        <v>1983</v>
      </c>
      <c r="B20" s="274">
        <v>120112</v>
      </c>
      <c r="C20" s="275">
        <v>4314</v>
      </c>
      <c r="D20" s="276">
        <v>137640</v>
      </c>
      <c r="E20" s="275">
        <v>9975</v>
      </c>
      <c r="F20" s="276">
        <f t="shared" si="0"/>
        <v>272041</v>
      </c>
      <c r="H20" s="274"/>
    </row>
    <row r="21" spans="1:8" ht="18" customHeight="1">
      <c r="A21" s="93">
        <v>1984</v>
      </c>
      <c r="B21" s="274">
        <v>120286</v>
      </c>
      <c r="C21" s="275">
        <v>4433</v>
      </c>
      <c r="D21" s="276">
        <v>136449</v>
      </c>
      <c r="E21" s="275">
        <v>10016</v>
      </c>
      <c r="F21" s="276">
        <f t="shared" si="0"/>
        <v>271184</v>
      </c>
      <c r="H21" s="274"/>
    </row>
    <row r="22" spans="1:8" ht="18" customHeight="1">
      <c r="A22" s="93">
        <v>1985</v>
      </c>
      <c r="B22" s="274">
        <v>120825</v>
      </c>
      <c r="C22" s="275">
        <v>4634</v>
      </c>
      <c r="D22" s="276">
        <v>135983</v>
      </c>
      <c r="E22" s="275">
        <v>11282</v>
      </c>
      <c r="F22" s="276">
        <f t="shared" si="0"/>
        <v>272724</v>
      </c>
      <c r="H22" s="274"/>
    </row>
    <row r="23" spans="1:8" ht="18" customHeight="1">
      <c r="A23" s="93">
        <v>1986</v>
      </c>
      <c r="B23" s="274">
        <v>120243</v>
      </c>
      <c r="C23" s="275">
        <v>4469</v>
      </c>
      <c r="D23" s="276">
        <v>136870</v>
      </c>
      <c r="E23" s="275">
        <v>11655</v>
      </c>
      <c r="F23" s="276">
        <f t="shared" si="0"/>
        <v>273237</v>
      </c>
      <c r="H23" s="274"/>
    </row>
    <row r="24" spans="1:11" ht="18" customHeight="1">
      <c r="A24" s="93">
        <v>1987</v>
      </c>
      <c r="B24" s="274">
        <v>119364</v>
      </c>
      <c r="C24" s="275">
        <v>4646</v>
      </c>
      <c r="D24" s="276">
        <v>132787</v>
      </c>
      <c r="E24" s="275">
        <v>10080</v>
      </c>
      <c r="F24" s="276">
        <f t="shared" si="0"/>
        <v>266877</v>
      </c>
      <c r="G24" s="274"/>
      <c r="I24" s="275"/>
      <c r="J24" s="275"/>
      <c r="K24" s="276"/>
    </row>
    <row r="25" spans="1:11" ht="18" customHeight="1">
      <c r="A25" s="93">
        <v>1988</v>
      </c>
      <c r="B25" s="274">
        <v>122042</v>
      </c>
      <c r="C25" s="275">
        <v>4176</v>
      </c>
      <c r="D25" s="276">
        <v>134176</v>
      </c>
      <c r="E25" s="275">
        <v>10316</v>
      </c>
      <c r="F25" s="276">
        <f t="shared" si="0"/>
        <v>270710</v>
      </c>
      <c r="G25" s="274"/>
      <c r="I25" s="275"/>
      <c r="J25" s="275"/>
      <c r="K25" s="276"/>
    </row>
    <row r="26" spans="1:11" ht="18" customHeight="1">
      <c r="A26" s="93">
        <v>1989</v>
      </c>
      <c r="B26" s="274">
        <v>121097</v>
      </c>
      <c r="C26" s="275">
        <v>4103</v>
      </c>
      <c r="D26" s="276">
        <v>135007</v>
      </c>
      <c r="E26" s="275">
        <v>11300</v>
      </c>
      <c r="F26" s="276">
        <f t="shared" si="0"/>
        <v>271507</v>
      </c>
      <c r="G26" s="274"/>
      <c r="I26" s="275"/>
      <c r="J26" s="106"/>
      <c r="K26" s="276"/>
    </row>
    <row r="27" spans="1:11" ht="18" customHeight="1">
      <c r="A27" s="93">
        <v>1990</v>
      </c>
      <c r="B27" s="274">
        <v>123691</v>
      </c>
      <c r="C27" s="275">
        <v>4910</v>
      </c>
      <c r="D27" s="276">
        <v>135457</v>
      </c>
      <c r="E27" s="275">
        <v>11916</v>
      </c>
      <c r="F27" s="276">
        <f t="shared" si="0"/>
        <v>275974</v>
      </c>
      <c r="G27" s="274"/>
      <c r="I27" s="275"/>
      <c r="J27" s="275"/>
      <c r="K27" s="276"/>
    </row>
    <row r="28" spans="1:11" ht="18" customHeight="1">
      <c r="A28" s="93">
        <v>1991</v>
      </c>
      <c r="B28" s="274">
        <v>123231</v>
      </c>
      <c r="C28" s="275">
        <v>4706</v>
      </c>
      <c r="D28" s="276">
        <v>131798</v>
      </c>
      <c r="E28" s="275">
        <v>12471</v>
      </c>
      <c r="F28" s="276">
        <f t="shared" si="0"/>
        <v>272206</v>
      </c>
      <c r="G28" s="274"/>
      <c r="I28" s="275"/>
      <c r="J28" s="275"/>
      <c r="K28" s="276"/>
    </row>
    <row r="29" spans="1:11" ht="18" customHeight="1">
      <c r="A29" s="93">
        <v>1992</v>
      </c>
      <c r="B29" s="274">
        <v>120751</v>
      </c>
      <c r="C29" s="275">
        <v>4986</v>
      </c>
      <c r="D29" s="276">
        <v>131622</v>
      </c>
      <c r="E29" s="275">
        <v>12773</v>
      </c>
      <c r="F29" s="276">
        <f t="shared" si="0"/>
        <v>270132</v>
      </c>
      <c r="G29" s="274"/>
      <c r="I29" s="275"/>
      <c r="J29" s="275"/>
      <c r="K29" s="276"/>
    </row>
    <row r="30" spans="1:11" ht="18" customHeight="1">
      <c r="A30" s="93">
        <v>1993</v>
      </c>
      <c r="B30" s="274">
        <v>116950</v>
      </c>
      <c r="C30" s="275">
        <v>4680</v>
      </c>
      <c r="D30" s="276">
        <v>135213</v>
      </c>
      <c r="E30" s="275">
        <v>13406</v>
      </c>
      <c r="F30" s="276">
        <f t="shared" si="0"/>
        <v>270249</v>
      </c>
      <c r="G30" s="274"/>
      <c r="I30" s="275"/>
      <c r="J30" s="107"/>
      <c r="K30" s="276"/>
    </row>
    <row r="31" spans="1:11" ht="18" customHeight="1">
      <c r="A31" s="93">
        <v>1994</v>
      </c>
      <c r="B31" s="274">
        <v>109439</v>
      </c>
      <c r="C31" s="275">
        <v>4517</v>
      </c>
      <c r="D31" s="276">
        <f>132935+3616</f>
        <v>136551</v>
      </c>
      <c r="E31" s="275">
        <v>13384</v>
      </c>
      <c r="F31" s="276">
        <f t="shared" si="0"/>
        <v>263891</v>
      </c>
      <c r="G31" s="274"/>
      <c r="I31" s="275"/>
      <c r="J31" s="107"/>
      <c r="K31" s="276"/>
    </row>
    <row r="32" spans="1:11" ht="18" customHeight="1">
      <c r="A32" s="93">
        <v>1995</v>
      </c>
      <c r="B32" s="274">
        <v>110297</v>
      </c>
      <c r="C32" s="275">
        <v>4219</v>
      </c>
      <c r="D32" s="276">
        <f>133131+3945</f>
        <v>137076</v>
      </c>
      <c r="E32" s="275">
        <v>14205</v>
      </c>
      <c r="F32" s="276">
        <f t="shared" si="0"/>
        <v>265797</v>
      </c>
      <c r="G32" s="274"/>
      <c r="I32" s="275"/>
      <c r="J32" s="107"/>
      <c r="K32" s="276"/>
    </row>
    <row r="33" spans="1:11" ht="18" customHeight="1">
      <c r="A33" s="93">
        <v>1996</v>
      </c>
      <c r="B33" s="274">
        <v>108010</v>
      </c>
      <c r="C33" s="275">
        <v>4319</v>
      </c>
      <c r="D33" s="276">
        <v>139881</v>
      </c>
      <c r="E33" s="275">
        <v>15276</v>
      </c>
      <c r="F33" s="276">
        <f t="shared" si="0"/>
        <v>267486</v>
      </c>
      <c r="G33" s="274"/>
      <c r="I33" s="275"/>
      <c r="J33" s="107"/>
      <c r="K33" s="276"/>
    </row>
    <row r="34" spans="1:11" ht="18" customHeight="1">
      <c r="A34" s="93">
        <v>1997</v>
      </c>
      <c r="B34" s="274">
        <v>105913</v>
      </c>
      <c r="C34" s="275">
        <v>4575</v>
      </c>
      <c r="D34" s="276">
        <v>141636</v>
      </c>
      <c r="E34" s="275">
        <v>16491</v>
      </c>
      <c r="F34" s="276">
        <f t="shared" si="0"/>
        <v>268615</v>
      </c>
      <c r="G34" s="274"/>
      <c r="I34" s="275"/>
      <c r="J34" s="107"/>
      <c r="K34" s="276"/>
    </row>
    <row r="35" spans="1:11" ht="18" customHeight="1">
      <c r="A35" s="93">
        <v>1998</v>
      </c>
      <c r="B35" s="274">
        <v>104118</v>
      </c>
      <c r="C35" s="275">
        <v>4377</v>
      </c>
      <c r="D35" s="276">
        <v>144957</v>
      </c>
      <c r="E35" s="275">
        <v>18072</v>
      </c>
      <c r="F35" s="276">
        <f t="shared" si="0"/>
        <v>271524</v>
      </c>
      <c r="G35" s="274"/>
      <c r="I35" s="275"/>
      <c r="J35" s="107"/>
      <c r="K35" s="276"/>
    </row>
    <row r="36" spans="1:11" ht="18" customHeight="1">
      <c r="A36" s="93">
        <v>1999</v>
      </c>
      <c r="B36" s="274">
        <v>102674</v>
      </c>
      <c r="C36" s="275">
        <v>3811</v>
      </c>
      <c r="D36" s="274">
        <f>139171+5964</f>
        <v>145135</v>
      </c>
      <c r="E36" s="275">
        <v>17896</v>
      </c>
      <c r="F36" s="276">
        <f t="shared" si="0"/>
        <v>269516</v>
      </c>
      <c r="G36" s="274"/>
      <c r="I36" s="275"/>
      <c r="J36" s="108"/>
      <c r="K36" s="276"/>
    </row>
    <row r="37" spans="1:11" ht="18" customHeight="1">
      <c r="A37" s="93">
        <v>2000</v>
      </c>
      <c r="B37" s="274">
        <v>100926</v>
      </c>
      <c r="C37" s="275">
        <v>2858</v>
      </c>
      <c r="D37" s="274">
        <v>134172</v>
      </c>
      <c r="E37" s="275">
        <v>17270</v>
      </c>
      <c r="F37" s="276">
        <f t="shared" si="0"/>
        <v>255226</v>
      </c>
      <c r="G37" s="274"/>
      <c r="I37" s="275"/>
      <c r="J37" s="108"/>
      <c r="K37" s="276"/>
    </row>
    <row r="38" spans="1:11" ht="18" customHeight="1">
      <c r="A38" s="93">
        <v>2001</v>
      </c>
      <c r="B38" s="274">
        <v>95372</v>
      </c>
      <c r="C38" s="275">
        <v>2620</v>
      </c>
      <c r="D38" s="274">
        <v>130778</v>
      </c>
      <c r="E38" s="275">
        <v>16547</v>
      </c>
      <c r="F38" s="276">
        <f t="shared" si="0"/>
        <v>245317</v>
      </c>
      <c r="G38" s="274"/>
      <c r="I38" s="275"/>
      <c r="J38" s="108"/>
      <c r="K38" s="276"/>
    </row>
    <row r="39" spans="1:11" ht="18" customHeight="1">
      <c r="A39" s="93">
        <v>2002</v>
      </c>
      <c r="B39" s="276">
        <f>44375+51347+1076</f>
        <v>96798</v>
      </c>
      <c r="C39" s="275">
        <v>2508</v>
      </c>
      <c r="D39" s="274">
        <v>133933</v>
      </c>
      <c r="E39" s="275">
        <v>17910</v>
      </c>
      <c r="F39" s="276">
        <f t="shared" si="0"/>
        <v>251149</v>
      </c>
      <c r="G39" s="274"/>
      <c r="I39" s="275"/>
      <c r="J39" s="108"/>
      <c r="K39" s="276"/>
    </row>
    <row r="40" spans="1:11" ht="18" customHeight="1">
      <c r="A40" s="93">
        <v>2003</v>
      </c>
      <c r="B40" s="276">
        <f>45265+53539+1307</f>
        <v>100111</v>
      </c>
      <c r="C40" s="275">
        <v>2372</v>
      </c>
      <c r="D40" s="274">
        <v>138023</v>
      </c>
      <c r="E40" s="275">
        <v>18530</v>
      </c>
      <c r="F40" s="276">
        <f t="shared" si="0"/>
        <v>259036</v>
      </c>
      <c r="G40" s="274"/>
      <c r="I40" s="275"/>
      <c r="J40" s="108"/>
      <c r="K40" s="276"/>
    </row>
    <row r="41" spans="1:11" ht="18" customHeight="1">
      <c r="A41" s="93">
        <v>2004</v>
      </c>
      <c r="B41" s="276">
        <f>47382+55570+1602</f>
        <v>104554</v>
      </c>
      <c r="C41" s="275">
        <v>2197</v>
      </c>
      <c r="D41" s="274">
        <v>143405</v>
      </c>
      <c r="E41" s="275">
        <v>18987</v>
      </c>
      <c r="F41" s="276">
        <f t="shared" si="0"/>
        <v>269143</v>
      </c>
      <c r="G41" s="274"/>
      <c r="I41" s="275"/>
      <c r="J41" s="108"/>
      <c r="K41" s="276"/>
    </row>
    <row r="42" spans="1:11" ht="18" customHeight="1">
      <c r="A42" s="93">
        <v>2005</v>
      </c>
      <c r="B42" s="276">
        <v>105972</v>
      </c>
      <c r="C42" s="275">
        <v>3064</v>
      </c>
      <c r="D42" s="274">
        <v>150253</v>
      </c>
      <c r="E42" s="275">
        <v>19765</v>
      </c>
      <c r="F42" s="276">
        <f t="shared" si="0"/>
        <v>279054</v>
      </c>
      <c r="G42" s="274"/>
      <c r="I42" s="275"/>
      <c r="J42" s="108"/>
      <c r="K42" s="276"/>
    </row>
    <row r="43" spans="1:11" ht="18" customHeight="1">
      <c r="A43" s="93">
        <v>2006</v>
      </c>
      <c r="B43" s="276">
        <v>106913</v>
      </c>
      <c r="C43" s="275">
        <v>2390</v>
      </c>
      <c r="D43" s="274">
        <v>156434</v>
      </c>
      <c r="E43" s="275">
        <v>20733</v>
      </c>
      <c r="F43" s="276">
        <f t="shared" si="0"/>
        <v>286470</v>
      </c>
      <c r="G43" s="274"/>
      <c r="I43" s="275"/>
      <c r="J43" s="108"/>
      <c r="K43" s="276"/>
    </row>
    <row r="44" spans="1:11" ht="18" customHeight="1">
      <c r="A44" s="93">
        <v>2007</v>
      </c>
      <c r="B44" s="276">
        <v>106298</v>
      </c>
      <c r="C44" s="275">
        <v>1993</v>
      </c>
      <c r="D44" s="274">
        <v>163368</v>
      </c>
      <c r="E44" s="275">
        <v>21230</v>
      </c>
      <c r="F44" s="276">
        <f t="shared" si="0"/>
        <v>292889</v>
      </c>
      <c r="G44" s="274"/>
      <c r="I44" s="275"/>
      <c r="J44" s="108"/>
      <c r="K44" s="276"/>
    </row>
    <row r="45" spans="1:11" ht="18" customHeight="1">
      <c r="A45" s="93">
        <v>2008</v>
      </c>
      <c r="B45" s="276">
        <v>107447</v>
      </c>
      <c r="C45" s="275">
        <v>1823</v>
      </c>
      <c r="D45" s="274">
        <v>167891</v>
      </c>
      <c r="E45" s="275">
        <v>22527</v>
      </c>
      <c r="F45" s="276">
        <f t="shared" si="0"/>
        <v>299688</v>
      </c>
      <c r="G45" s="274"/>
      <c r="I45" s="275"/>
      <c r="J45" s="108"/>
      <c r="K45" s="276"/>
    </row>
    <row r="46" spans="1:11" ht="18" customHeight="1">
      <c r="A46" s="93">
        <v>2009</v>
      </c>
      <c r="B46" s="276">
        <v>107848</v>
      </c>
      <c r="C46" s="275">
        <v>1802</v>
      </c>
      <c r="D46" s="274">
        <v>172444</v>
      </c>
      <c r="E46" s="275">
        <v>23875</v>
      </c>
      <c r="F46" s="276">
        <f t="shared" si="0"/>
        <v>305969</v>
      </c>
      <c r="G46" s="274"/>
      <c r="I46" s="275"/>
      <c r="J46" s="108"/>
      <c r="K46" s="276"/>
    </row>
    <row r="47" spans="1:11" ht="18" customHeight="1">
      <c r="A47" s="93">
        <v>2010</v>
      </c>
      <c r="B47" s="276">
        <v>108699</v>
      </c>
      <c r="C47" s="275">
        <f>1024+746</f>
        <v>1770</v>
      </c>
      <c r="D47" s="274">
        <v>179052</v>
      </c>
      <c r="E47" s="275">
        <v>25036</v>
      </c>
      <c r="F47" s="276">
        <f t="shared" si="0"/>
        <v>314557</v>
      </c>
      <c r="G47" s="274"/>
      <c r="I47" s="275"/>
      <c r="J47" s="108"/>
      <c r="K47" s="276"/>
    </row>
    <row r="48" spans="1:11" ht="18" customHeight="1">
      <c r="A48" s="93">
        <v>2011</v>
      </c>
      <c r="B48" s="276">
        <v>109530</v>
      </c>
      <c r="C48" s="275">
        <v>1129</v>
      </c>
      <c r="D48" s="274">
        <v>180763</v>
      </c>
      <c r="E48" s="275">
        <v>25167</v>
      </c>
      <c r="F48" s="276">
        <f>SUM(B48:E48)</f>
        <v>316589</v>
      </c>
      <c r="G48" s="274"/>
      <c r="I48" s="275"/>
      <c r="J48" s="108"/>
      <c r="K48" s="276"/>
    </row>
    <row r="49" spans="1:11" ht="18" customHeight="1">
      <c r="A49" s="93">
        <v>2012</v>
      </c>
      <c r="B49" s="276">
        <v>110119</v>
      </c>
      <c r="C49" s="275">
        <f>833+97</f>
        <v>930</v>
      </c>
      <c r="D49" s="274">
        <v>187195</v>
      </c>
      <c r="E49" s="275">
        <v>26169</v>
      </c>
      <c r="F49" s="276">
        <f>SUM(B49:E49)</f>
        <v>324413</v>
      </c>
      <c r="G49" s="274"/>
      <c r="I49" s="275"/>
      <c r="J49" s="108"/>
      <c r="K49" s="276"/>
    </row>
    <row r="50" spans="1:11" s="273" customFormat="1" ht="18" customHeight="1">
      <c r="A50" s="93">
        <v>2013</v>
      </c>
      <c r="B50" s="276">
        <v>111982</v>
      </c>
      <c r="C50" s="275">
        <v>815</v>
      </c>
      <c r="D50" s="274">
        <v>190707</v>
      </c>
      <c r="E50" s="275">
        <v>26878</v>
      </c>
      <c r="F50" s="276">
        <f t="shared" si="0"/>
        <v>330382</v>
      </c>
      <c r="G50" s="279"/>
      <c r="I50" s="278"/>
      <c r="J50" s="109"/>
      <c r="K50" s="277"/>
    </row>
    <row r="51" spans="1:11" s="273" customFormat="1" ht="18" customHeight="1">
      <c r="A51" s="93">
        <v>2014</v>
      </c>
      <c r="B51" s="276">
        <v>113179</v>
      </c>
      <c r="C51" s="275">
        <v>809</v>
      </c>
      <c r="D51" s="274">
        <v>196565</v>
      </c>
      <c r="E51" s="275">
        <v>27210</v>
      </c>
      <c r="F51" s="276">
        <f t="shared" si="0"/>
        <v>337763</v>
      </c>
      <c r="G51" s="279"/>
      <c r="I51" s="278"/>
      <c r="J51" s="109"/>
      <c r="K51" s="277"/>
    </row>
    <row r="52" spans="1:11" ht="18" customHeight="1">
      <c r="A52" s="93">
        <v>2015</v>
      </c>
      <c r="B52" s="276">
        <v>112576</v>
      </c>
      <c r="C52" s="275">
        <v>742</v>
      </c>
      <c r="D52" s="274">
        <v>201206</v>
      </c>
      <c r="E52" s="275">
        <v>28018</v>
      </c>
      <c r="F52" s="276">
        <f t="shared" si="0"/>
        <v>342542</v>
      </c>
      <c r="G52" s="274"/>
      <c r="I52" s="275"/>
      <c r="J52" s="108"/>
      <c r="K52" s="276"/>
    </row>
    <row r="53" spans="1:11" ht="18" customHeight="1">
      <c r="A53" s="93">
        <v>2016</v>
      </c>
      <c r="B53" s="276">
        <v>112229</v>
      </c>
      <c r="C53" s="275">
        <v>923</v>
      </c>
      <c r="D53" s="274">
        <v>204940</v>
      </c>
      <c r="E53" s="275">
        <v>28638</v>
      </c>
      <c r="F53" s="276">
        <f t="shared" si="0"/>
        <v>346730</v>
      </c>
      <c r="G53" s="274"/>
      <c r="I53" s="275"/>
      <c r="J53" s="108"/>
      <c r="K53" s="276"/>
    </row>
    <row r="54" spans="1:11" s="362" customFormat="1" ht="18" customHeight="1">
      <c r="A54" s="93">
        <v>2017</v>
      </c>
      <c r="B54" s="276">
        <v>112624</v>
      </c>
      <c r="C54" s="275">
        <v>904</v>
      </c>
      <c r="D54" s="274">
        <v>205648</v>
      </c>
      <c r="E54" s="275">
        <v>30363</v>
      </c>
      <c r="F54" s="276">
        <f t="shared" si="0"/>
        <v>349539</v>
      </c>
      <c r="G54" s="363"/>
      <c r="I54" s="365"/>
      <c r="J54" s="366"/>
      <c r="K54" s="364"/>
    </row>
    <row r="55" spans="1:11" ht="18" customHeight="1">
      <c r="A55" s="93">
        <v>2018</v>
      </c>
      <c r="B55" s="276">
        <v>114116</v>
      </c>
      <c r="C55" s="275">
        <v>898</v>
      </c>
      <c r="D55" s="274">
        <v>204191</v>
      </c>
      <c r="E55" s="275">
        <v>30310</v>
      </c>
      <c r="F55" s="276">
        <f t="shared" si="0"/>
        <v>349515</v>
      </c>
      <c r="G55" s="274"/>
      <c r="I55" s="275"/>
      <c r="J55" s="108"/>
      <c r="K55" s="276"/>
    </row>
    <row r="56" spans="1:11" ht="18" customHeight="1">
      <c r="A56" s="93">
        <v>2019</v>
      </c>
      <c r="B56" s="276">
        <v>112588</v>
      </c>
      <c r="C56" s="275">
        <v>849</v>
      </c>
      <c r="D56" s="274">
        <v>213004</v>
      </c>
      <c r="E56" s="275">
        <v>30089</v>
      </c>
      <c r="F56" s="276">
        <f>SUM(B56:E56)</f>
        <v>356530</v>
      </c>
      <c r="G56" s="274"/>
      <c r="I56" s="275"/>
      <c r="J56" s="108"/>
      <c r="K56" s="276"/>
    </row>
    <row r="57" spans="1:11" s="496" customFormat="1" ht="18" customHeight="1">
      <c r="A57" s="93">
        <v>2020</v>
      </c>
      <c r="B57" s="276">
        <f>109295+2274</f>
        <v>111569</v>
      </c>
      <c r="C57" s="275">
        <v>872</v>
      </c>
      <c r="D57" s="274">
        <f>+'pobl lic'!V7</f>
        <v>217808</v>
      </c>
      <c r="E57" s="275">
        <f>16998+8376+5260</f>
        <v>30634</v>
      </c>
      <c r="F57" s="276">
        <f>SUM(B57:E57)</f>
        <v>360883</v>
      </c>
      <c r="G57" s="497"/>
      <c r="I57" s="499"/>
      <c r="J57" s="557"/>
      <c r="K57" s="498"/>
    </row>
    <row r="58" spans="1:11" s="496" customFormat="1" ht="18" customHeight="1">
      <c r="A58" s="93">
        <v>2021</v>
      </c>
      <c r="B58" s="276">
        <v>108802</v>
      </c>
      <c r="C58" s="275">
        <v>761</v>
      </c>
      <c r="D58" s="274">
        <v>226575</v>
      </c>
      <c r="E58" s="275">
        <v>30792</v>
      </c>
      <c r="F58" s="276">
        <f>+B58+C58+D58+E58</f>
        <v>366930</v>
      </c>
      <c r="G58" s="497"/>
      <c r="I58" s="499"/>
      <c r="J58" s="557"/>
      <c r="K58" s="498"/>
    </row>
    <row r="59" spans="1:11" s="496" customFormat="1" ht="18" customHeight="1">
      <c r="A59" s="93">
        <v>2022</v>
      </c>
      <c r="B59" s="276">
        <v>106574</v>
      </c>
      <c r="C59" s="275">
        <v>689</v>
      </c>
      <c r="D59" s="274">
        <v>229268</v>
      </c>
      <c r="E59" s="275">
        <v>33076</v>
      </c>
      <c r="F59" s="276">
        <f>+B59+C59+D59+E59</f>
        <v>369607</v>
      </c>
      <c r="G59" s="497"/>
      <c r="I59" s="499"/>
      <c r="J59" s="557"/>
      <c r="K59" s="498"/>
    </row>
    <row r="60" spans="1:11" s="1031" customFormat="1" ht="18" customHeight="1">
      <c r="A60" s="1024">
        <v>2023</v>
      </c>
      <c r="B60" s="1026">
        <f>+'pobl bach'!AA7</f>
        <v>107061</v>
      </c>
      <c r="C60" s="1028">
        <v>667</v>
      </c>
      <c r="D60" s="1025">
        <f>+'pobl escolar'!Y15</f>
        <v>233260</v>
      </c>
      <c r="E60" s="1028">
        <v>32550</v>
      </c>
      <c r="F60" s="1026">
        <f>SUM(B60:E60)</f>
        <v>373538</v>
      </c>
      <c r="G60" s="1030"/>
      <c r="I60" s="1032"/>
      <c r="J60" s="1033"/>
      <c r="K60" s="1034"/>
    </row>
    <row r="61" spans="1:6" ht="11.25" customHeight="1">
      <c r="A61" s="110" t="s">
        <v>431</v>
      </c>
      <c r="B61" s="111"/>
      <c r="C61" s="112"/>
      <c r="D61" s="111"/>
      <c r="E61" s="112"/>
      <c r="F61" s="111"/>
    </row>
    <row r="62" spans="1:6" ht="11.25" customHeight="1">
      <c r="A62" s="110" t="s">
        <v>432</v>
      </c>
      <c r="B62" s="111"/>
      <c r="C62" s="112"/>
      <c r="D62" s="111"/>
      <c r="E62" s="112"/>
      <c r="F62" s="111"/>
    </row>
    <row r="63" spans="1:6" ht="11.25" customHeight="1">
      <c r="A63" s="110" t="s">
        <v>433</v>
      </c>
      <c r="B63" s="111"/>
      <c r="C63" s="112"/>
      <c r="D63" s="111"/>
      <c r="E63" s="112"/>
      <c r="F63" s="111"/>
    </row>
    <row r="64" spans="1:6" ht="11.25" customHeight="1" hidden="1">
      <c r="A64" s="113" t="s">
        <v>703</v>
      </c>
      <c r="B64" s="102"/>
      <c r="C64" s="101"/>
      <c r="D64" s="102"/>
      <c r="E64" s="101"/>
      <c r="F64" s="102"/>
    </row>
    <row r="65" spans="2:7" ht="12" customHeight="1">
      <c r="B65" s="98"/>
      <c r="C65" s="102"/>
      <c r="D65" s="102"/>
      <c r="E65" s="101"/>
      <c r="F65" s="101"/>
      <c r="G65" s="102"/>
    </row>
    <row r="66" spans="1:6" ht="12" customHeight="1">
      <c r="A66" s="98" t="s">
        <v>745</v>
      </c>
      <c r="B66" s="102"/>
      <c r="C66" s="102"/>
      <c r="D66" s="102"/>
      <c r="E66" s="102"/>
      <c r="F66" s="102"/>
    </row>
    <row r="67" spans="1:6" ht="12" customHeight="1">
      <c r="A67" s="114" t="s">
        <v>434</v>
      </c>
      <c r="B67" s="102"/>
      <c r="C67" s="102"/>
      <c r="D67" s="102"/>
      <c r="E67" s="102"/>
      <c r="F67" s="102"/>
    </row>
    <row r="68" spans="1:6" ht="12" customHeight="1">
      <c r="A68" s="98" t="s">
        <v>435</v>
      </c>
      <c r="B68" s="102"/>
      <c r="C68" s="102"/>
      <c r="D68" s="102"/>
      <c r="E68" s="102"/>
      <c r="F68" s="102"/>
    </row>
    <row r="69" spans="1:6" ht="12" customHeight="1">
      <c r="A69" s="114" t="s">
        <v>743</v>
      </c>
      <c r="B69" s="97"/>
      <c r="C69" s="97"/>
      <c r="D69" s="97"/>
      <c r="E69" s="97"/>
      <c r="F69" s="97"/>
    </row>
    <row r="70" ht="12.75">
      <c r="A70" s="114" t="s">
        <v>744</v>
      </c>
    </row>
  </sheetData>
  <sheetProtection/>
  <mergeCells count="4">
    <mergeCell ref="A1:F1"/>
    <mergeCell ref="A2:F2"/>
    <mergeCell ref="A3:F3"/>
    <mergeCell ref="A4:F4"/>
  </mergeCells>
  <printOptions horizontalCentered="1" verticalCentered="1"/>
  <pageMargins left="0.98" right="0.98" top="0.39000000000000007" bottom="0.39000000000000007" header="0.51" footer="0.51"/>
  <pageSetup fitToHeight="1" fitToWidth="1" orientation="portrait" scale="66" r:id="rId1"/>
  <ignoredErrors>
    <ignoredError sqref="F57 F8:F55" formulaRange="1"/>
  </ignoredErrors>
</worksheet>
</file>

<file path=xl/worksheets/sheet46.xml><?xml version="1.0" encoding="utf-8"?>
<worksheet xmlns="http://schemas.openxmlformats.org/spreadsheetml/2006/main" xmlns:r="http://schemas.openxmlformats.org/officeDocument/2006/relationships">
  <sheetPr>
    <tabColor rgb="FF660066"/>
    <pageSetUpPr fitToPage="1"/>
  </sheetPr>
  <dimension ref="A1:H49"/>
  <sheetViews>
    <sheetView zoomScalePageLayoutView="0" workbookViewId="0" topLeftCell="A1">
      <pane ySplit="6" topLeftCell="A42" activePane="bottomLeft" state="frozen"/>
      <selection pane="topLeft" activeCell="A1" sqref="A1:H1"/>
      <selection pane="bottomLeft" activeCell="A48" sqref="A48"/>
    </sheetView>
  </sheetViews>
  <sheetFormatPr defaultColWidth="10.8515625" defaultRowHeight="12.75"/>
  <cols>
    <col min="1" max="1" width="8.8515625" style="90" customWidth="1"/>
    <col min="2" max="8" width="12.8515625" style="90" customWidth="1"/>
    <col min="9" max="16384" width="10.8515625" style="90" customWidth="1"/>
  </cols>
  <sheetData>
    <row r="1" spans="1:8" ht="12.75" customHeight="1">
      <c r="A1" s="1205" t="s">
        <v>436</v>
      </c>
      <c r="B1" s="1202"/>
      <c r="C1" s="1202"/>
      <c r="D1" s="1202"/>
      <c r="E1" s="1202"/>
      <c r="F1" s="1202"/>
      <c r="G1" s="1202"/>
      <c r="H1" s="1202"/>
    </row>
    <row r="2" spans="1:8" ht="12.75" customHeight="1">
      <c r="A2" s="1202"/>
      <c r="B2" s="1202"/>
      <c r="C2" s="1202"/>
      <c r="D2" s="1202"/>
      <c r="E2" s="1202"/>
      <c r="F2" s="1202"/>
      <c r="G2" s="1202"/>
      <c r="H2" s="1202"/>
    </row>
    <row r="3" spans="1:8" s="91" customFormat="1" ht="18" customHeight="1">
      <c r="A3" s="1203" t="s">
        <v>428</v>
      </c>
      <c r="B3" s="1203"/>
      <c r="C3" s="1203"/>
      <c r="D3" s="1203"/>
      <c r="E3" s="1203"/>
      <c r="F3" s="1203"/>
      <c r="G3" s="1203"/>
      <c r="H3" s="1203"/>
    </row>
    <row r="4" spans="1:8" s="91" customFormat="1" ht="18" customHeight="1">
      <c r="A4" s="1204" t="s">
        <v>816</v>
      </c>
      <c r="B4" s="1204"/>
      <c r="C4" s="1204"/>
      <c r="D4" s="1204"/>
      <c r="E4" s="1204"/>
      <c r="F4" s="1204"/>
      <c r="G4" s="1204"/>
      <c r="H4" s="1204"/>
    </row>
    <row r="5" spans="1:8" ht="12.75">
      <c r="A5" s="92"/>
      <c r="B5" s="92"/>
      <c r="C5" s="92"/>
      <c r="D5" s="92"/>
      <c r="E5" s="92"/>
      <c r="F5" s="92"/>
      <c r="G5" s="92"/>
      <c r="H5" s="92"/>
    </row>
    <row r="6" spans="1:8" s="104" customFormat="1" ht="36" customHeight="1">
      <c r="A6" s="142" t="s">
        <v>423</v>
      </c>
      <c r="B6" s="143" t="s">
        <v>437</v>
      </c>
      <c r="C6" s="143" t="s">
        <v>438</v>
      </c>
      <c r="D6" s="144" t="s">
        <v>103</v>
      </c>
      <c r="E6" s="144" t="s">
        <v>72</v>
      </c>
      <c r="F6" s="144" t="s">
        <v>73</v>
      </c>
      <c r="G6" s="144" t="s">
        <v>74</v>
      </c>
      <c r="H6" s="144" t="s">
        <v>61</v>
      </c>
    </row>
    <row r="7" spans="1:8" ht="18" customHeight="1">
      <c r="A7" s="93">
        <v>1987</v>
      </c>
      <c r="B7" s="90">
        <v>609</v>
      </c>
      <c r="C7" s="274">
        <v>1519</v>
      </c>
      <c r="D7" s="276">
        <v>117845</v>
      </c>
      <c r="E7" s="275">
        <v>4037</v>
      </c>
      <c r="F7" s="276">
        <v>132787</v>
      </c>
      <c r="G7" s="275">
        <v>10080</v>
      </c>
      <c r="H7" s="276">
        <f aca="true" t="shared" si="0" ref="H7:H40">SUM(B7:G7)</f>
        <v>266877</v>
      </c>
    </row>
    <row r="8" spans="1:8" ht="18" customHeight="1">
      <c r="A8" s="93">
        <v>1988</v>
      </c>
      <c r="B8" s="90">
        <v>520</v>
      </c>
      <c r="C8" s="274">
        <v>1442</v>
      </c>
      <c r="D8" s="276">
        <v>120600</v>
      </c>
      <c r="E8" s="275">
        <v>3656</v>
      </c>
      <c r="F8" s="276">
        <v>134176</v>
      </c>
      <c r="G8" s="275">
        <v>10316</v>
      </c>
      <c r="H8" s="276">
        <f t="shared" si="0"/>
        <v>270710</v>
      </c>
    </row>
    <row r="9" spans="1:8" ht="18" customHeight="1">
      <c r="A9" s="93">
        <v>1989</v>
      </c>
      <c r="B9" s="90">
        <v>595</v>
      </c>
      <c r="C9" s="274">
        <v>1783</v>
      </c>
      <c r="D9" s="276">
        <v>119314</v>
      </c>
      <c r="E9" s="275">
        <v>3508</v>
      </c>
      <c r="F9" s="276">
        <v>135007</v>
      </c>
      <c r="G9" s="275">
        <v>11300</v>
      </c>
      <c r="H9" s="276">
        <f t="shared" si="0"/>
        <v>271507</v>
      </c>
    </row>
    <row r="10" spans="1:8" ht="18" customHeight="1">
      <c r="A10" s="93">
        <v>1990</v>
      </c>
      <c r="B10" s="90">
        <v>685</v>
      </c>
      <c r="C10" s="274">
        <v>1879</v>
      </c>
      <c r="D10" s="276">
        <v>121812</v>
      </c>
      <c r="E10" s="275">
        <v>4225</v>
      </c>
      <c r="F10" s="276">
        <v>135457</v>
      </c>
      <c r="G10" s="275">
        <v>11916</v>
      </c>
      <c r="H10" s="276">
        <f t="shared" si="0"/>
        <v>275974</v>
      </c>
    </row>
    <row r="11" spans="1:8" ht="18" customHeight="1">
      <c r="A11" s="93">
        <v>1991</v>
      </c>
      <c r="B11" s="90">
        <v>721</v>
      </c>
      <c r="C11" s="274">
        <v>1339</v>
      </c>
      <c r="D11" s="276">
        <v>121892</v>
      </c>
      <c r="E11" s="275">
        <v>3985</v>
      </c>
      <c r="F11" s="276">
        <v>131798</v>
      </c>
      <c r="G11" s="275">
        <v>12471</v>
      </c>
      <c r="H11" s="276">
        <f t="shared" si="0"/>
        <v>272206</v>
      </c>
    </row>
    <row r="12" spans="1:8" ht="18" customHeight="1">
      <c r="A12" s="93">
        <v>1992</v>
      </c>
      <c r="B12" s="90">
        <v>714</v>
      </c>
      <c r="C12" s="274">
        <v>1401</v>
      </c>
      <c r="D12" s="276">
        <v>119350</v>
      </c>
      <c r="E12" s="275">
        <v>4272</v>
      </c>
      <c r="F12" s="276">
        <v>131622</v>
      </c>
      <c r="G12" s="275">
        <v>12773</v>
      </c>
      <c r="H12" s="276">
        <f t="shared" si="0"/>
        <v>270132</v>
      </c>
    </row>
    <row r="13" spans="1:8" ht="18" customHeight="1">
      <c r="A13" s="93">
        <v>1993</v>
      </c>
      <c r="B13" s="90">
        <v>770</v>
      </c>
      <c r="C13" s="274">
        <v>1634</v>
      </c>
      <c r="D13" s="276">
        <v>115316</v>
      </c>
      <c r="E13" s="275">
        <v>3910</v>
      </c>
      <c r="F13" s="276">
        <v>135213</v>
      </c>
      <c r="G13" s="275">
        <v>13406</v>
      </c>
      <c r="H13" s="276">
        <f t="shared" si="0"/>
        <v>270249</v>
      </c>
    </row>
    <row r="14" spans="1:8" ht="18" customHeight="1">
      <c r="A14" s="93">
        <v>1994</v>
      </c>
      <c r="B14" s="90">
        <v>809</v>
      </c>
      <c r="C14" s="274">
        <v>1389</v>
      </c>
      <c r="D14" s="276">
        <v>108050</v>
      </c>
      <c r="E14" s="275">
        <f>3437+7+264</f>
        <v>3708</v>
      </c>
      <c r="F14" s="276">
        <f>132935+3616</f>
        <v>136551</v>
      </c>
      <c r="G14" s="275">
        <v>13384</v>
      </c>
      <c r="H14" s="276">
        <f t="shared" si="0"/>
        <v>263891</v>
      </c>
    </row>
    <row r="15" spans="1:8" ht="18" customHeight="1">
      <c r="A15" s="93">
        <v>1995</v>
      </c>
      <c r="B15" s="90">
        <v>819</v>
      </c>
      <c r="C15" s="274">
        <v>1405</v>
      </c>
      <c r="D15" s="276">
        <v>108892</v>
      </c>
      <c r="E15" s="275">
        <f>3088+8+304</f>
        <v>3400</v>
      </c>
      <c r="F15" s="276">
        <f>133131+3945</f>
        <v>137076</v>
      </c>
      <c r="G15" s="275">
        <v>14205</v>
      </c>
      <c r="H15" s="276">
        <f t="shared" si="0"/>
        <v>265797</v>
      </c>
    </row>
    <row r="16" spans="1:8" ht="18" customHeight="1">
      <c r="A16" s="93">
        <v>1996</v>
      </c>
      <c r="B16" s="90">
        <v>910</v>
      </c>
      <c r="C16" s="274">
        <v>1451</v>
      </c>
      <c r="D16" s="276">
        <v>106559</v>
      </c>
      <c r="E16" s="275">
        <f>3398+11</f>
        <v>3409</v>
      </c>
      <c r="F16" s="276">
        <v>139881</v>
      </c>
      <c r="G16" s="275">
        <v>15276</v>
      </c>
      <c r="H16" s="276">
        <f t="shared" si="0"/>
        <v>267486</v>
      </c>
    </row>
    <row r="17" spans="1:8" ht="18" customHeight="1">
      <c r="A17" s="93">
        <v>1997</v>
      </c>
      <c r="B17" s="90">
        <v>934</v>
      </c>
      <c r="C17" s="274">
        <v>1499</v>
      </c>
      <c r="D17" s="276">
        <f>48320+56094</f>
        <v>104414</v>
      </c>
      <c r="E17" s="275">
        <f>3638+3</f>
        <v>3641</v>
      </c>
      <c r="F17" s="276">
        <v>141636</v>
      </c>
      <c r="G17" s="275">
        <v>16491</v>
      </c>
      <c r="H17" s="276">
        <f t="shared" si="0"/>
        <v>268615</v>
      </c>
    </row>
    <row r="18" spans="1:8" ht="18" customHeight="1">
      <c r="A18" s="93">
        <v>1998</v>
      </c>
      <c r="B18" s="90">
        <v>891</v>
      </c>
      <c r="C18" s="274">
        <v>1620</v>
      </c>
      <c r="D18" s="276">
        <f>47405+55093</f>
        <v>102498</v>
      </c>
      <c r="E18" s="275">
        <f>3478+8</f>
        <v>3486</v>
      </c>
      <c r="F18" s="276">
        <v>144957</v>
      </c>
      <c r="G18" s="275">
        <v>18072</v>
      </c>
      <c r="H18" s="276">
        <f t="shared" si="0"/>
        <v>271524</v>
      </c>
    </row>
    <row r="19" spans="1:8" ht="18" customHeight="1">
      <c r="A19" s="93">
        <v>1999</v>
      </c>
      <c r="B19" s="90">
        <v>649</v>
      </c>
      <c r="C19" s="274">
        <v>1612</v>
      </c>
      <c r="D19" s="276">
        <f>47719+53343</f>
        <v>101062</v>
      </c>
      <c r="E19" s="275">
        <v>3162</v>
      </c>
      <c r="F19" s="276">
        <f>139171+5964</f>
        <v>145135</v>
      </c>
      <c r="G19" s="275">
        <v>17896</v>
      </c>
      <c r="H19" s="276">
        <f t="shared" si="0"/>
        <v>269516</v>
      </c>
    </row>
    <row r="20" spans="1:8" ht="18" customHeight="1">
      <c r="A20" s="93">
        <v>2000</v>
      </c>
      <c r="B20" s="90">
        <v>541</v>
      </c>
      <c r="C20" s="274">
        <v>1405</v>
      </c>
      <c r="D20" s="276">
        <f>54793+44728</f>
        <v>99521</v>
      </c>
      <c r="E20" s="275">
        <v>2317</v>
      </c>
      <c r="F20" s="274">
        <v>134172</v>
      </c>
      <c r="G20" s="275">
        <v>17270</v>
      </c>
      <c r="H20" s="276">
        <f t="shared" si="0"/>
        <v>255226</v>
      </c>
    </row>
    <row r="21" spans="1:8" ht="18" customHeight="1">
      <c r="A21" s="93">
        <v>2001</v>
      </c>
      <c r="B21" s="90">
        <v>607</v>
      </c>
      <c r="C21" s="274">
        <v>1107</v>
      </c>
      <c r="D21" s="276">
        <f>43329+50936</f>
        <v>94265</v>
      </c>
      <c r="E21" s="275">
        <v>2013</v>
      </c>
      <c r="F21" s="274">
        <v>130778</v>
      </c>
      <c r="G21" s="275">
        <v>16547</v>
      </c>
      <c r="H21" s="276">
        <f t="shared" si="0"/>
        <v>245317</v>
      </c>
    </row>
    <row r="22" spans="1:8" ht="18" customHeight="1">
      <c r="A22" s="93">
        <v>2002</v>
      </c>
      <c r="B22" s="90">
        <v>641</v>
      </c>
      <c r="C22" s="274">
        <v>1076</v>
      </c>
      <c r="D22" s="276">
        <f>44375+51347</f>
        <v>95722</v>
      </c>
      <c r="E22" s="275">
        <v>1867</v>
      </c>
      <c r="F22" s="274">
        <v>133933</v>
      </c>
      <c r="G22" s="275">
        <v>17910</v>
      </c>
      <c r="H22" s="276">
        <f t="shared" si="0"/>
        <v>251149</v>
      </c>
    </row>
    <row r="23" spans="1:8" ht="18" customHeight="1">
      <c r="A23" s="93">
        <v>2003</v>
      </c>
      <c r="B23" s="90">
        <v>651</v>
      </c>
      <c r="C23" s="274">
        <v>1307</v>
      </c>
      <c r="D23" s="276">
        <f>45265+53539</f>
        <v>98804</v>
      </c>
      <c r="E23" s="275">
        <f>1717+4</f>
        <v>1721</v>
      </c>
      <c r="F23" s="274">
        <v>138023</v>
      </c>
      <c r="G23" s="275">
        <v>18530</v>
      </c>
      <c r="H23" s="276">
        <f t="shared" si="0"/>
        <v>259036</v>
      </c>
    </row>
    <row r="24" spans="1:8" ht="18" customHeight="1">
      <c r="A24" s="93">
        <v>2004</v>
      </c>
      <c r="B24" s="90">
        <v>588</v>
      </c>
      <c r="C24" s="274">
        <v>1602</v>
      </c>
      <c r="D24" s="276">
        <f>47382+55570</f>
        <v>102952</v>
      </c>
      <c r="E24" s="275">
        <v>1609</v>
      </c>
      <c r="F24" s="274">
        <v>143405</v>
      </c>
      <c r="G24" s="275">
        <v>18987</v>
      </c>
      <c r="H24" s="276">
        <f t="shared" si="0"/>
        <v>269143</v>
      </c>
    </row>
    <row r="25" spans="1:8" ht="18" customHeight="1">
      <c r="A25" s="93">
        <v>2005</v>
      </c>
      <c r="B25" s="90">
        <v>585</v>
      </c>
      <c r="C25" s="274">
        <v>1757</v>
      </c>
      <c r="D25" s="276">
        <f>47774+56441</f>
        <v>104215</v>
      </c>
      <c r="E25" s="275">
        <v>2479</v>
      </c>
      <c r="F25" s="274">
        <v>150253</v>
      </c>
      <c r="G25" s="275">
        <v>19765</v>
      </c>
      <c r="H25" s="276">
        <f t="shared" si="0"/>
        <v>279054</v>
      </c>
    </row>
    <row r="26" spans="1:8" ht="18" customHeight="1">
      <c r="A26" s="93">
        <v>2006</v>
      </c>
      <c r="B26" s="90">
        <v>745</v>
      </c>
      <c r="C26" s="274">
        <v>1869</v>
      </c>
      <c r="D26" s="276">
        <f>48489+56555</f>
        <v>105044</v>
      </c>
      <c r="E26" s="275">
        <v>1645</v>
      </c>
      <c r="F26" s="274">
        <v>156434</v>
      </c>
      <c r="G26" s="275">
        <v>20747</v>
      </c>
      <c r="H26" s="276">
        <f t="shared" si="0"/>
        <v>286484</v>
      </c>
    </row>
    <row r="27" spans="1:8" ht="18" customHeight="1">
      <c r="A27" s="93">
        <v>2007</v>
      </c>
      <c r="B27" s="90">
        <v>729</v>
      </c>
      <c r="C27" s="274">
        <v>1931</v>
      </c>
      <c r="D27" s="276">
        <f>48382+55985</f>
        <v>104367</v>
      </c>
      <c r="E27" s="275">
        <f>1258+6</f>
        <v>1264</v>
      </c>
      <c r="F27" s="274">
        <v>163368</v>
      </c>
      <c r="G27" s="275">
        <v>21230</v>
      </c>
      <c r="H27" s="276">
        <f t="shared" si="0"/>
        <v>292889</v>
      </c>
    </row>
    <row r="28" spans="1:8" ht="18" customHeight="1">
      <c r="A28" s="93">
        <v>2008</v>
      </c>
      <c r="B28" s="90">
        <v>739</v>
      </c>
      <c r="C28" s="274">
        <v>1868</v>
      </c>
      <c r="D28" s="276">
        <f>48977+56602</f>
        <v>105579</v>
      </c>
      <c r="E28" s="275">
        <v>1084</v>
      </c>
      <c r="F28" s="274">
        <v>167891</v>
      </c>
      <c r="G28" s="275">
        <v>22527</v>
      </c>
      <c r="H28" s="276">
        <f t="shared" si="0"/>
        <v>299688</v>
      </c>
    </row>
    <row r="29" spans="1:8" ht="18" customHeight="1">
      <c r="A29" s="93">
        <v>2009</v>
      </c>
      <c r="B29" s="90">
        <v>738</v>
      </c>
      <c r="C29" s="274">
        <v>1878</v>
      </c>
      <c r="D29" s="276">
        <v>105970</v>
      </c>
      <c r="E29" s="275">
        <v>1064</v>
      </c>
      <c r="F29" s="274">
        <v>172444</v>
      </c>
      <c r="G29" s="275">
        <v>23875</v>
      </c>
      <c r="H29" s="276">
        <f t="shared" si="0"/>
        <v>305969</v>
      </c>
    </row>
    <row r="30" spans="1:8" ht="18" customHeight="1">
      <c r="A30" s="93">
        <v>2010</v>
      </c>
      <c r="B30" s="90">
        <v>746</v>
      </c>
      <c r="C30" s="274">
        <v>1857</v>
      </c>
      <c r="D30" s="276">
        <v>106842</v>
      </c>
      <c r="E30" s="275">
        <v>1024</v>
      </c>
      <c r="F30" s="274">
        <v>179052</v>
      </c>
      <c r="G30" s="275">
        <v>25036</v>
      </c>
      <c r="H30" s="276">
        <f t="shared" si="0"/>
        <v>314557</v>
      </c>
    </row>
    <row r="31" spans="1:8" ht="18" customHeight="1">
      <c r="A31" s="93">
        <v>2011</v>
      </c>
      <c r="B31" s="90">
        <v>767</v>
      </c>
      <c r="C31" s="274">
        <v>1913</v>
      </c>
      <c r="D31" s="276">
        <v>107617</v>
      </c>
      <c r="E31" s="275">
        <v>362</v>
      </c>
      <c r="F31" s="274">
        <v>180763</v>
      </c>
      <c r="G31" s="275">
        <v>25167</v>
      </c>
      <c r="H31" s="276">
        <f>SUM(B31:G31)</f>
        <v>316589</v>
      </c>
    </row>
    <row r="32" spans="1:8" ht="18" customHeight="1">
      <c r="A32" s="93">
        <v>2012</v>
      </c>
      <c r="B32" s="90">
        <v>833</v>
      </c>
      <c r="C32" s="274">
        <v>1816</v>
      </c>
      <c r="D32" s="276">
        <v>108303</v>
      </c>
      <c r="E32" s="275">
        <v>97</v>
      </c>
      <c r="F32" s="274">
        <v>187195</v>
      </c>
      <c r="G32" s="275">
        <v>26169</v>
      </c>
      <c r="H32" s="276">
        <f>SUM(B32:G32)</f>
        <v>324413</v>
      </c>
    </row>
    <row r="33" spans="1:8" s="273" customFormat="1" ht="18" customHeight="1">
      <c r="A33" s="93">
        <v>2013</v>
      </c>
      <c r="B33" s="90">
        <v>812</v>
      </c>
      <c r="C33" s="274">
        <v>1926</v>
      </c>
      <c r="D33" s="276">
        <v>110056</v>
      </c>
      <c r="E33" s="275">
        <v>3</v>
      </c>
      <c r="F33" s="274">
        <v>190707</v>
      </c>
      <c r="G33" s="275">
        <v>26878</v>
      </c>
      <c r="H33" s="276">
        <f t="shared" si="0"/>
        <v>330382</v>
      </c>
    </row>
    <row r="34" spans="1:8" s="273" customFormat="1" ht="18" customHeight="1">
      <c r="A34" s="93">
        <v>2014</v>
      </c>
      <c r="B34" s="90">
        <v>804</v>
      </c>
      <c r="C34" s="274">
        <v>1950</v>
      </c>
      <c r="D34" s="276">
        <v>111229</v>
      </c>
      <c r="E34" s="275">
        <v>5</v>
      </c>
      <c r="F34" s="274">
        <v>196565</v>
      </c>
      <c r="G34" s="275">
        <v>27210</v>
      </c>
      <c r="H34" s="276">
        <f t="shared" si="0"/>
        <v>337763</v>
      </c>
    </row>
    <row r="35" spans="1:8" ht="18" customHeight="1">
      <c r="A35" s="93">
        <v>2015</v>
      </c>
      <c r="B35" s="90">
        <v>742</v>
      </c>
      <c r="C35" s="274">
        <v>2155</v>
      </c>
      <c r="D35" s="276">
        <v>110421</v>
      </c>
      <c r="E35" s="488" t="s">
        <v>90</v>
      </c>
      <c r="F35" s="274">
        <v>201206</v>
      </c>
      <c r="G35" s="275">
        <v>28018</v>
      </c>
      <c r="H35" s="276">
        <f t="shared" si="0"/>
        <v>342542</v>
      </c>
    </row>
    <row r="36" spans="1:8" ht="18" customHeight="1">
      <c r="A36" s="93">
        <v>2016</v>
      </c>
      <c r="B36" s="90">
        <v>923</v>
      </c>
      <c r="C36" s="274">
        <v>2294</v>
      </c>
      <c r="D36" s="276">
        <v>109935</v>
      </c>
      <c r="E36" s="488" t="s">
        <v>90</v>
      </c>
      <c r="F36" s="274">
        <v>204940</v>
      </c>
      <c r="G36" s="275">
        <v>28638</v>
      </c>
      <c r="H36" s="276">
        <f t="shared" si="0"/>
        <v>346730</v>
      </c>
    </row>
    <row r="37" spans="1:8" ht="18" customHeight="1">
      <c r="A37" s="93">
        <v>2017</v>
      </c>
      <c r="B37" s="90">
        <v>904</v>
      </c>
      <c r="C37" s="274">
        <v>2392</v>
      </c>
      <c r="D37" s="276">
        <v>110232</v>
      </c>
      <c r="E37" s="488" t="s">
        <v>90</v>
      </c>
      <c r="F37" s="274">
        <v>205648</v>
      </c>
      <c r="G37" s="275">
        <v>30363</v>
      </c>
      <c r="H37" s="276">
        <f>SUM(B37:G37)</f>
        <v>349539</v>
      </c>
    </row>
    <row r="38" spans="1:8" ht="18" customHeight="1">
      <c r="A38" s="93">
        <v>2018</v>
      </c>
      <c r="B38" s="90">
        <v>898</v>
      </c>
      <c r="C38" s="274">
        <v>2428</v>
      </c>
      <c r="D38" s="276">
        <v>111688</v>
      </c>
      <c r="E38" s="488" t="s">
        <v>90</v>
      </c>
      <c r="F38" s="274">
        <v>204191</v>
      </c>
      <c r="G38" s="275">
        <v>30310</v>
      </c>
      <c r="H38" s="276">
        <f>SUM(B38:G38)</f>
        <v>349515</v>
      </c>
    </row>
    <row r="39" spans="1:8" ht="18" customHeight="1">
      <c r="A39" s="93">
        <v>2019</v>
      </c>
      <c r="B39" s="90">
        <v>846</v>
      </c>
      <c r="C39" s="274">
        <v>2333</v>
      </c>
      <c r="D39" s="276">
        <v>110255</v>
      </c>
      <c r="E39" s="275">
        <v>3</v>
      </c>
      <c r="F39" s="274">
        <v>213004</v>
      </c>
      <c r="G39" s="275">
        <v>30089</v>
      </c>
      <c r="H39" s="276">
        <f>SUM(B39:G39)</f>
        <v>356530</v>
      </c>
    </row>
    <row r="40" spans="1:8" s="496" customFormat="1" ht="18" customHeight="1">
      <c r="A40" s="93">
        <v>2020</v>
      </c>
      <c r="B40" s="90">
        <v>872</v>
      </c>
      <c r="C40" s="274">
        <v>2274</v>
      </c>
      <c r="D40" s="276">
        <v>109295</v>
      </c>
      <c r="E40" s="275" t="s">
        <v>90</v>
      </c>
      <c r="F40" s="274">
        <v>217808</v>
      </c>
      <c r="G40" s="275">
        <v>30634</v>
      </c>
      <c r="H40" s="276">
        <f t="shared" si="0"/>
        <v>360883</v>
      </c>
    </row>
    <row r="41" spans="1:8" s="496" customFormat="1" ht="18" customHeight="1">
      <c r="A41" s="93">
        <v>2021</v>
      </c>
      <c r="B41" s="274">
        <f>+'pobl escolar'!W9</f>
        <v>733</v>
      </c>
      <c r="C41" s="274">
        <v>2186</v>
      </c>
      <c r="D41" s="276">
        <v>106616</v>
      </c>
      <c r="E41" s="275">
        <v>28</v>
      </c>
      <c r="F41" s="274">
        <v>226575</v>
      </c>
      <c r="G41" s="275">
        <f>16368+9087+5338</f>
        <v>30793</v>
      </c>
      <c r="H41" s="276">
        <f>SUM(B41:G41)</f>
        <v>366931</v>
      </c>
    </row>
    <row r="42" spans="1:8" s="496" customFormat="1" ht="18" customHeight="1">
      <c r="A42" s="93">
        <v>2022</v>
      </c>
      <c r="B42" s="274">
        <f>+'pobl escolar'!X9</f>
        <v>688</v>
      </c>
      <c r="C42" s="274">
        <v>2050</v>
      </c>
      <c r="D42" s="276">
        <f>+'pobl escolar'!X11-'población 1987-2023'!C42</f>
        <v>104524</v>
      </c>
      <c r="E42" s="275">
        <v>1</v>
      </c>
      <c r="F42" s="274">
        <f>+'pobl escolar'!X15</f>
        <v>229268</v>
      </c>
      <c r="G42" s="275">
        <f>+'pobl escolar'!X17</f>
        <v>33076</v>
      </c>
      <c r="H42" s="276">
        <f>SUM(B42:G42)</f>
        <v>369607</v>
      </c>
    </row>
    <row r="43" spans="1:8" s="1029" customFormat="1" ht="18" customHeight="1">
      <c r="A43" s="1024">
        <v>2023</v>
      </c>
      <c r="B43" s="1025">
        <f>+'pobl escolar'!Y9</f>
        <v>663</v>
      </c>
      <c r="C43" s="1025">
        <v>1912</v>
      </c>
      <c r="D43" s="1026">
        <f>+'pobl bach'!AA7-'población 1987-2023'!C43</f>
        <v>105149</v>
      </c>
      <c r="E43" s="1027">
        <v>4</v>
      </c>
      <c r="F43" s="1025">
        <f>+'pobl lic'!Y7</f>
        <v>233260</v>
      </c>
      <c r="G43" s="1028">
        <f>+'pobl posgr'!Y7</f>
        <v>32550</v>
      </c>
      <c r="H43" s="1026">
        <f>SUM(B43:G43)</f>
        <v>373538</v>
      </c>
    </row>
    <row r="44" spans="1:8" ht="12" customHeight="1">
      <c r="A44" s="110" t="s">
        <v>431</v>
      </c>
      <c r="B44" s="114"/>
      <c r="C44" s="111"/>
      <c r="D44" s="111"/>
      <c r="E44" s="112"/>
      <c r="F44" s="111"/>
      <c r="G44" s="112"/>
      <c r="H44" s="111"/>
    </row>
    <row r="45" spans="1:8" ht="12" customHeight="1" hidden="1">
      <c r="A45" s="113" t="s">
        <v>703</v>
      </c>
      <c r="B45" s="103"/>
      <c r="C45" s="102"/>
      <c r="D45" s="102"/>
      <c r="E45" s="101"/>
      <c r="F45" s="102"/>
      <c r="G45" s="101"/>
      <c r="H45" s="102"/>
    </row>
    <row r="46" spans="2:8" ht="12" customHeight="1">
      <c r="B46" s="98"/>
      <c r="C46" s="102"/>
      <c r="D46" s="102"/>
      <c r="E46" s="101"/>
      <c r="F46" s="102"/>
      <c r="G46" s="101"/>
      <c r="H46" s="102"/>
    </row>
    <row r="47" spans="1:8" ht="12" customHeight="1">
      <c r="A47" s="98" t="s">
        <v>745</v>
      </c>
      <c r="B47" s="114"/>
      <c r="C47" s="102"/>
      <c r="D47" s="102"/>
      <c r="E47" s="102"/>
      <c r="F47" s="102"/>
      <c r="G47" s="102"/>
      <c r="H47" s="102"/>
    </row>
    <row r="48" spans="1:8" ht="12" customHeight="1">
      <c r="A48" s="114" t="s">
        <v>818</v>
      </c>
      <c r="B48" s="98"/>
      <c r="C48" s="97"/>
      <c r="D48" s="97"/>
      <c r="E48" s="97"/>
      <c r="F48" s="97"/>
      <c r="G48" s="97"/>
      <c r="H48" s="97"/>
    </row>
    <row r="49" ht="11.25" customHeight="1">
      <c r="A49" s="114" t="s">
        <v>817</v>
      </c>
    </row>
  </sheetData>
  <sheetProtection/>
  <mergeCells count="4">
    <mergeCell ref="A1:H1"/>
    <mergeCell ref="A2:H2"/>
    <mergeCell ref="A3:H3"/>
    <mergeCell ref="A4:H4"/>
  </mergeCells>
  <printOptions horizontalCentered="1" verticalCentered="1"/>
  <pageMargins left="0.98" right="0.98" top="0.7900000000000001" bottom="0.7900000000000001" header="0.51" footer="0.51"/>
  <pageSetup fitToHeight="1" fitToWidth="1" orientation="portrait" scale="79"/>
  <ignoredErrors>
    <ignoredError sqref="H40 H7:H13 H29:H38" formulaRange="1"/>
  </ignoredErrors>
</worksheet>
</file>

<file path=xl/worksheets/sheet47.xml><?xml version="1.0" encoding="utf-8"?>
<worksheet xmlns="http://schemas.openxmlformats.org/spreadsheetml/2006/main" xmlns:r="http://schemas.openxmlformats.org/officeDocument/2006/relationships">
  <sheetPr>
    <tabColor theme="9" tint="-0.24997000396251678"/>
    <pageSetUpPr fitToPage="1"/>
  </sheetPr>
  <dimension ref="A1:D115"/>
  <sheetViews>
    <sheetView zoomScalePageLayoutView="0" workbookViewId="0" topLeftCell="A99">
      <selection activeCell="N116" sqref="N116"/>
    </sheetView>
  </sheetViews>
  <sheetFormatPr defaultColWidth="10.8515625" defaultRowHeight="12.75"/>
  <cols>
    <col min="1" max="1" width="8.8515625" style="93" customWidth="1"/>
    <col min="2" max="4" width="14.8515625" style="93" customWidth="1"/>
    <col min="5" max="16384" width="10.8515625" style="90" customWidth="1"/>
  </cols>
  <sheetData>
    <row r="1" spans="1:4" ht="12.75">
      <c r="A1" s="1205" t="s">
        <v>439</v>
      </c>
      <c r="B1" s="1202"/>
      <c r="C1" s="1202"/>
      <c r="D1" s="1202"/>
    </row>
    <row r="2" spans="1:4" ht="12.75">
      <c r="A2" s="1202"/>
      <c r="B2" s="1202"/>
      <c r="C2" s="1202"/>
      <c r="D2" s="1202"/>
    </row>
    <row r="3" spans="1:4" s="91" customFormat="1" ht="18" customHeight="1">
      <c r="A3" s="1203" t="s">
        <v>508</v>
      </c>
      <c r="B3" s="1203"/>
      <c r="C3" s="1203"/>
      <c r="D3" s="1203"/>
    </row>
    <row r="4" spans="1:4" s="91" customFormat="1" ht="18" customHeight="1">
      <c r="A4" s="1204" t="s">
        <v>854</v>
      </c>
      <c r="B4" s="1204"/>
      <c r="C4" s="1204"/>
      <c r="D4" s="1204"/>
    </row>
    <row r="5" spans="1:4" ht="12.75">
      <c r="A5" s="92"/>
      <c r="B5" s="92"/>
      <c r="C5" s="92"/>
      <c r="D5" s="92"/>
    </row>
    <row r="6" spans="1:4" s="104" customFormat="1" ht="18" customHeight="1">
      <c r="A6" s="142" t="s">
        <v>423</v>
      </c>
      <c r="B6" s="143" t="s">
        <v>509</v>
      </c>
      <c r="C6" s="143" t="s">
        <v>510</v>
      </c>
      <c r="D6" s="142" t="s">
        <v>61</v>
      </c>
    </row>
    <row r="7" spans="1:4" ht="18" customHeight="1">
      <c r="A7" s="93">
        <v>1924</v>
      </c>
      <c r="B7" s="94">
        <v>2328</v>
      </c>
      <c r="C7" s="295"/>
      <c r="D7" s="94">
        <f aca="true" t="shared" si="0" ref="D7:D43">SUM(B7+C7)</f>
        <v>2328</v>
      </c>
    </row>
    <row r="8" spans="1:4" ht="18" customHeight="1">
      <c r="A8" s="93">
        <v>1925</v>
      </c>
      <c r="B8" s="94">
        <v>2810</v>
      </c>
      <c r="C8" s="295"/>
      <c r="D8" s="94">
        <f t="shared" si="0"/>
        <v>2810</v>
      </c>
    </row>
    <row r="9" spans="1:4" ht="18" customHeight="1">
      <c r="A9" s="93">
        <v>1926</v>
      </c>
      <c r="B9" s="94">
        <v>1772</v>
      </c>
      <c r="C9" s="295"/>
      <c r="D9" s="94">
        <f t="shared" si="0"/>
        <v>1772</v>
      </c>
    </row>
    <row r="10" spans="1:4" ht="18" customHeight="1">
      <c r="A10" s="93">
        <v>1927</v>
      </c>
      <c r="B10" s="94">
        <v>1479</v>
      </c>
      <c r="C10" s="295"/>
      <c r="D10" s="94">
        <f t="shared" si="0"/>
        <v>1479</v>
      </c>
    </row>
    <row r="11" spans="1:4" ht="18" customHeight="1">
      <c r="A11" s="93">
        <v>1928</v>
      </c>
      <c r="B11" s="94">
        <v>1315</v>
      </c>
      <c r="C11" s="295"/>
      <c r="D11" s="94">
        <f t="shared" si="0"/>
        <v>1315</v>
      </c>
    </row>
    <row r="12" spans="1:4" ht="18" customHeight="1">
      <c r="A12" s="93">
        <v>1929</v>
      </c>
      <c r="B12" s="94">
        <v>1388</v>
      </c>
      <c r="C12" s="295"/>
      <c r="D12" s="94">
        <f t="shared" si="0"/>
        <v>1388</v>
      </c>
    </row>
    <row r="13" spans="1:4" ht="18" customHeight="1">
      <c r="A13" s="93">
        <v>1930</v>
      </c>
      <c r="B13" s="94">
        <v>1528</v>
      </c>
      <c r="C13" s="295"/>
      <c r="D13" s="94">
        <f t="shared" si="0"/>
        <v>1528</v>
      </c>
    </row>
    <row r="14" spans="1:4" ht="18" customHeight="1">
      <c r="A14" s="93">
        <v>1931</v>
      </c>
      <c r="B14" s="94">
        <v>1438</v>
      </c>
      <c r="C14" s="295"/>
      <c r="D14" s="94">
        <f t="shared" si="0"/>
        <v>1438</v>
      </c>
    </row>
    <row r="15" spans="1:4" ht="18" customHeight="1">
      <c r="A15" s="93">
        <v>1932</v>
      </c>
      <c r="B15" s="94">
        <v>1462</v>
      </c>
      <c r="C15" s="295"/>
      <c r="D15" s="94">
        <f t="shared" si="0"/>
        <v>1462</v>
      </c>
    </row>
    <row r="16" spans="1:4" ht="18" customHeight="1">
      <c r="A16" s="93">
        <v>1933</v>
      </c>
      <c r="B16" s="94">
        <v>1381</v>
      </c>
      <c r="C16" s="295"/>
      <c r="D16" s="94">
        <f t="shared" si="0"/>
        <v>1381</v>
      </c>
    </row>
    <row r="17" spans="1:4" ht="18" customHeight="1">
      <c r="A17" s="93">
        <v>1934</v>
      </c>
      <c r="B17" s="94">
        <v>1649</v>
      </c>
      <c r="C17" s="295"/>
      <c r="D17" s="94">
        <f t="shared" si="0"/>
        <v>1649</v>
      </c>
    </row>
    <row r="18" spans="1:4" ht="18" customHeight="1">
      <c r="A18" s="93">
        <v>1935</v>
      </c>
      <c r="B18" s="94">
        <v>2065</v>
      </c>
      <c r="C18" s="295"/>
      <c r="D18" s="94">
        <f t="shared" si="0"/>
        <v>2065</v>
      </c>
    </row>
    <row r="19" spans="1:4" ht="18" customHeight="1">
      <c r="A19" s="93">
        <v>1936</v>
      </c>
      <c r="B19" s="94">
        <v>2672</v>
      </c>
      <c r="C19" s="295"/>
      <c r="D19" s="94">
        <f t="shared" si="0"/>
        <v>2672</v>
      </c>
    </row>
    <row r="20" spans="1:4" ht="18" customHeight="1">
      <c r="A20" s="93">
        <v>1937</v>
      </c>
      <c r="B20" s="94">
        <v>3181</v>
      </c>
      <c r="C20" s="295"/>
      <c r="D20" s="94">
        <f t="shared" si="0"/>
        <v>3181</v>
      </c>
    </row>
    <row r="21" spans="1:4" ht="18" customHeight="1">
      <c r="A21" s="93">
        <v>1938</v>
      </c>
      <c r="B21" s="94">
        <v>3358</v>
      </c>
      <c r="C21" s="295"/>
      <c r="D21" s="94">
        <f t="shared" si="0"/>
        <v>3358</v>
      </c>
    </row>
    <row r="22" spans="1:4" ht="18" customHeight="1">
      <c r="A22" s="93">
        <v>1939</v>
      </c>
      <c r="B22" s="94">
        <v>3372</v>
      </c>
      <c r="C22" s="295"/>
      <c r="D22" s="94">
        <f t="shared" si="0"/>
        <v>3372</v>
      </c>
    </row>
    <row r="23" spans="1:4" ht="18" customHeight="1">
      <c r="A23" s="93">
        <v>1940</v>
      </c>
      <c r="B23" s="94">
        <v>4465</v>
      </c>
      <c r="C23" s="295"/>
      <c r="D23" s="94">
        <f t="shared" si="0"/>
        <v>4465</v>
      </c>
    </row>
    <row r="24" spans="1:4" ht="18" customHeight="1">
      <c r="A24" s="93">
        <v>1941</v>
      </c>
      <c r="B24" s="94">
        <v>5084</v>
      </c>
      <c r="C24" s="295"/>
      <c r="D24" s="94">
        <f t="shared" si="0"/>
        <v>5084</v>
      </c>
    </row>
    <row r="25" spans="1:4" ht="18" customHeight="1">
      <c r="A25" s="93">
        <v>1942</v>
      </c>
      <c r="B25" s="94">
        <v>5578</v>
      </c>
      <c r="C25" s="295"/>
      <c r="D25" s="94">
        <f t="shared" si="0"/>
        <v>5578</v>
      </c>
    </row>
    <row r="26" spans="1:4" ht="18" customHeight="1">
      <c r="A26" s="93">
        <v>1943</v>
      </c>
      <c r="B26" s="94">
        <v>6080</v>
      </c>
      <c r="C26" s="295"/>
      <c r="D26" s="94">
        <f t="shared" si="0"/>
        <v>6080</v>
      </c>
    </row>
    <row r="27" spans="1:4" ht="18" customHeight="1">
      <c r="A27" s="93">
        <v>1944</v>
      </c>
      <c r="B27" s="94">
        <v>5720</v>
      </c>
      <c r="C27" s="295"/>
      <c r="D27" s="94">
        <f t="shared" si="0"/>
        <v>5720</v>
      </c>
    </row>
    <row r="28" spans="1:4" ht="18" customHeight="1">
      <c r="A28" s="93">
        <v>1945</v>
      </c>
      <c r="B28" s="94">
        <v>5887</v>
      </c>
      <c r="C28" s="295"/>
      <c r="D28" s="94">
        <f t="shared" si="0"/>
        <v>5887</v>
      </c>
    </row>
    <row r="29" spans="1:4" ht="18" customHeight="1">
      <c r="A29" s="93">
        <v>1946</v>
      </c>
      <c r="B29" s="94">
        <v>5531</v>
      </c>
      <c r="C29" s="295"/>
      <c r="D29" s="94">
        <f t="shared" si="0"/>
        <v>5531</v>
      </c>
    </row>
    <row r="30" spans="1:4" ht="18" customHeight="1">
      <c r="A30" s="93">
        <v>1947</v>
      </c>
      <c r="B30" s="94">
        <v>5489</v>
      </c>
      <c r="C30" s="295"/>
      <c r="D30" s="94">
        <f t="shared" si="0"/>
        <v>5489</v>
      </c>
    </row>
    <row r="31" spans="1:4" ht="18" customHeight="1">
      <c r="A31" s="93">
        <v>1948</v>
      </c>
      <c r="B31" s="94">
        <v>5286</v>
      </c>
      <c r="C31" s="295"/>
      <c r="D31" s="94">
        <f t="shared" si="0"/>
        <v>5286</v>
      </c>
    </row>
    <row r="32" spans="1:4" ht="18" customHeight="1">
      <c r="A32" s="93">
        <v>1949</v>
      </c>
      <c r="B32" s="94">
        <v>6066</v>
      </c>
      <c r="C32" s="295"/>
      <c r="D32" s="94">
        <f t="shared" si="0"/>
        <v>6066</v>
      </c>
    </row>
    <row r="33" spans="1:4" ht="18" customHeight="1">
      <c r="A33" s="93">
        <v>1950</v>
      </c>
      <c r="B33" s="94">
        <v>6783</v>
      </c>
      <c r="C33" s="295"/>
      <c r="D33" s="94">
        <f t="shared" si="0"/>
        <v>6783</v>
      </c>
    </row>
    <row r="34" spans="1:4" ht="18" customHeight="1">
      <c r="A34" s="93">
        <v>1951</v>
      </c>
      <c r="B34" s="94">
        <v>7934</v>
      </c>
      <c r="C34" s="295"/>
      <c r="D34" s="94">
        <f t="shared" si="0"/>
        <v>7934</v>
      </c>
    </row>
    <row r="35" spans="1:4" ht="18" customHeight="1">
      <c r="A35" s="93">
        <v>1952</v>
      </c>
      <c r="B35" s="94">
        <v>8900</v>
      </c>
      <c r="C35" s="295"/>
      <c r="D35" s="94">
        <f t="shared" si="0"/>
        <v>8900</v>
      </c>
    </row>
    <row r="36" spans="1:4" ht="18" customHeight="1">
      <c r="A36" s="93">
        <v>1953</v>
      </c>
      <c r="B36" s="94">
        <v>9650</v>
      </c>
      <c r="C36" s="295"/>
      <c r="D36" s="94">
        <f t="shared" si="0"/>
        <v>9650</v>
      </c>
    </row>
    <row r="37" spans="1:4" ht="18" customHeight="1">
      <c r="A37" s="93">
        <v>1954</v>
      </c>
      <c r="B37" s="94">
        <v>10398</v>
      </c>
      <c r="C37" s="295"/>
      <c r="D37" s="94">
        <f t="shared" si="0"/>
        <v>10398</v>
      </c>
    </row>
    <row r="38" spans="1:4" ht="18" customHeight="1">
      <c r="A38" s="93">
        <v>1955</v>
      </c>
      <c r="B38" s="94">
        <v>12019</v>
      </c>
      <c r="C38" s="295"/>
      <c r="D38" s="94">
        <f t="shared" si="0"/>
        <v>12019</v>
      </c>
    </row>
    <row r="39" spans="1:4" ht="18" customHeight="1">
      <c r="A39" s="93">
        <v>1956</v>
      </c>
      <c r="B39" s="94">
        <v>10603</v>
      </c>
      <c r="C39" s="295"/>
      <c r="D39" s="94">
        <f t="shared" si="0"/>
        <v>10603</v>
      </c>
    </row>
    <row r="40" spans="1:4" ht="18" customHeight="1">
      <c r="A40" s="93">
        <v>1957</v>
      </c>
      <c r="B40" s="94">
        <v>11217</v>
      </c>
      <c r="C40" s="295"/>
      <c r="D40" s="94">
        <f t="shared" si="0"/>
        <v>11217</v>
      </c>
    </row>
    <row r="41" spans="1:4" ht="18" customHeight="1">
      <c r="A41" s="93">
        <v>1958</v>
      </c>
      <c r="B41" s="94">
        <v>13174</v>
      </c>
      <c r="C41" s="295"/>
      <c r="D41" s="94">
        <f t="shared" si="0"/>
        <v>13174</v>
      </c>
    </row>
    <row r="42" spans="1:4" ht="18" customHeight="1">
      <c r="A42" s="93">
        <v>1959</v>
      </c>
      <c r="B42" s="94">
        <v>14847</v>
      </c>
      <c r="C42" s="295"/>
      <c r="D42" s="94">
        <f t="shared" si="0"/>
        <v>14847</v>
      </c>
    </row>
    <row r="43" spans="1:4" ht="18" customHeight="1">
      <c r="A43" s="93">
        <v>1960</v>
      </c>
      <c r="B43" s="94">
        <v>19328</v>
      </c>
      <c r="C43" s="295"/>
      <c r="D43" s="94">
        <f t="shared" si="0"/>
        <v>19328</v>
      </c>
    </row>
    <row r="44" spans="1:4" ht="18" customHeight="1">
      <c r="A44" s="93">
        <v>1961</v>
      </c>
      <c r="B44" s="94">
        <v>23101</v>
      </c>
      <c r="C44" s="295"/>
      <c r="D44" s="95">
        <f aca="true" t="shared" si="1" ref="D44:D104">SUM(B44:C44)</f>
        <v>23101</v>
      </c>
    </row>
    <row r="45" spans="1:4" ht="18" customHeight="1">
      <c r="A45" s="93">
        <v>1962</v>
      </c>
      <c r="B45" s="94">
        <v>24139</v>
      </c>
      <c r="C45" s="296"/>
      <c r="D45" s="95">
        <f t="shared" si="1"/>
        <v>24139</v>
      </c>
    </row>
    <row r="46" spans="1:4" ht="18" customHeight="1">
      <c r="A46" s="93">
        <v>1963</v>
      </c>
      <c r="B46" s="94">
        <v>26731</v>
      </c>
      <c r="C46" s="296"/>
      <c r="D46" s="95">
        <f t="shared" si="1"/>
        <v>26731</v>
      </c>
    </row>
    <row r="47" spans="1:4" ht="18" customHeight="1">
      <c r="A47" s="93">
        <v>1964</v>
      </c>
      <c r="B47" s="94">
        <v>25643</v>
      </c>
      <c r="C47" s="296"/>
      <c r="D47" s="95">
        <f t="shared" si="1"/>
        <v>25643</v>
      </c>
    </row>
    <row r="48" spans="1:4" ht="18" customHeight="1">
      <c r="A48" s="93">
        <v>1965</v>
      </c>
      <c r="B48" s="94">
        <v>25383</v>
      </c>
      <c r="C48" s="296"/>
      <c r="D48" s="95">
        <f t="shared" si="1"/>
        <v>25383</v>
      </c>
    </row>
    <row r="49" spans="1:4" ht="18" customHeight="1">
      <c r="A49" s="93">
        <v>1966</v>
      </c>
      <c r="B49" s="94">
        <v>20737</v>
      </c>
      <c r="C49" s="296"/>
      <c r="D49" s="95">
        <f t="shared" si="1"/>
        <v>20737</v>
      </c>
    </row>
    <row r="50" spans="1:4" ht="18" customHeight="1">
      <c r="A50" s="93">
        <v>1967</v>
      </c>
      <c r="B50" s="94">
        <v>35832</v>
      </c>
      <c r="C50" s="296"/>
      <c r="D50" s="95">
        <f t="shared" si="1"/>
        <v>35832</v>
      </c>
    </row>
    <row r="51" spans="1:4" ht="18" customHeight="1">
      <c r="A51" s="93">
        <v>1968</v>
      </c>
      <c r="B51" s="94">
        <v>41110</v>
      </c>
      <c r="C51" s="296"/>
      <c r="D51" s="95">
        <f t="shared" si="1"/>
        <v>41110</v>
      </c>
    </row>
    <row r="52" spans="1:4" ht="18" customHeight="1">
      <c r="A52" s="93">
        <v>1969</v>
      </c>
      <c r="B52" s="94">
        <v>40114</v>
      </c>
      <c r="C52" s="296"/>
      <c r="D52" s="95">
        <f t="shared" si="1"/>
        <v>40114</v>
      </c>
    </row>
    <row r="53" spans="1:4" ht="18" customHeight="1">
      <c r="A53" s="93">
        <v>1970</v>
      </c>
      <c r="B53" s="94">
        <v>39943</v>
      </c>
      <c r="C53" s="296"/>
      <c r="D53" s="95">
        <f t="shared" si="1"/>
        <v>39943</v>
      </c>
    </row>
    <row r="54" spans="1:4" s="103" customFormat="1" ht="18" customHeight="1">
      <c r="A54" s="93">
        <v>1971</v>
      </c>
      <c r="B54" s="94">
        <v>43958</v>
      </c>
      <c r="C54" s="94">
        <v>15059</v>
      </c>
      <c r="D54" s="95">
        <f t="shared" si="1"/>
        <v>59017</v>
      </c>
    </row>
    <row r="55" spans="1:4" s="103" customFormat="1" ht="18" customHeight="1">
      <c r="A55" s="93">
        <v>1972</v>
      </c>
      <c r="B55" s="94">
        <v>42777</v>
      </c>
      <c r="C55" s="94">
        <v>36474</v>
      </c>
      <c r="D55" s="95">
        <f t="shared" si="1"/>
        <v>79251</v>
      </c>
    </row>
    <row r="56" spans="1:4" ht="18" customHeight="1">
      <c r="A56" s="93">
        <v>1973</v>
      </c>
      <c r="B56" s="94">
        <v>45499</v>
      </c>
      <c r="C56" s="94">
        <v>59149</v>
      </c>
      <c r="D56" s="95">
        <f t="shared" si="1"/>
        <v>104648</v>
      </c>
    </row>
    <row r="57" spans="1:4" ht="18" customHeight="1">
      <c r="A57" s="93">
        <v>1974</v>
      </c>
      <c r="B57" s="94">
        <v>48766</v>
      </c>
      <c r="C57" s="94">
        <v>57205</v>
      </c>
      <c r="D57" s="95">
        <f t="shared" si="1"/>
        <v>105971</v>
      </c>
    </row>
    <row r="58" spans="1:4" ht="18" customHeight="1">
      <c r="A58" s="93">
        <v>1975</v>
      </c>
      <c r="B58" s="94">
        <v>49189</v>
      </c>
      <c r="C58" s="94">
        <v>62161</v>
      </c>
      <c r="D58" s="95">
        <f t="shared" si="1"/>
        <v>111350</v>
      </c>
    </row>
    <row r="59" spans="1:4" ht="18" customHeight="1">
      <c r="A59" s="93">
        <v>1976</v>
      </c>
      <c r="B59" s="94">
        <v>53172</v>
      </c>
      <c r="C59" s="94">
        <v>60375</v>
      </c>
      <c r="D59" s="95">
        <f t="shared" si="1"/>
        <v>113547</v>
      </c>
    </row>
    <row r="60" spans="1:4" ht="18" customHeight="1">
      <c r="A60" s="93">
        <v>1977</v>
      </c>
      <c r="B60" s="94">
        <v>55589</v>
      </c>
      <c r="C60" s="94">
        <v>68814</v>
      </c>
      <c r="D60" s="95">
        <f t="shared" si="1"/>
        <v>124403</v>
      </c>
    </row>
    <row r="61" spans="1:4" ht="18" customHeight="1">
      <c r="A61" s="93">
        <v>1978</v>
      </c>
      <c r="B61" s="94">
        <v>51173</v>
      </c>
      <c r="C61" s="94">
        <v>78123</v>
      </c>
      <c r="D61" s="95">
        <f t="shared" si="1"/>
        <v>129296</v>
      </c>
    </row>
    <row r="62" spans="1:4" ht="18" customHeight="1">
      <c r="A62" s="93">
        <v>1979</v>
      </c>
      <c r="B62" s="94">
        <v>47500</v>
      </c>
      <c r="C62" s="94">
        <v>76746</v>
      </c>
      <c r="D62" s="95">
        <f t="shared" si="1"/>
        <v>124246</v>
      </c>
    </row>
    <row r="63" spans="1:4" ht="18" customHeight="1">
      <c r="A63" s="93">
        <v>1980</v>
      </c>
      <c r="B63" s="297">
        <v>47003</v>
      </c>
      <c r="C63" s="297">
        <v>75085</v>
      </c>
      <c r="D63" s="95">
        <f t="shared" si="1"/>
        <v>122088</v>
      </c>
    </row>
    <row r="64" spans="1:4" ht="18" customHeight="1">
      <c r="A64" s="93">
        <v>1981</v>
      </c>
      <c r="B64" s="297">
        <v>46780</v>
      </c>
      <c r="C64" s="297">
        <v>74703</v>
      </c>
      <c r="D64" s="95">
        <f t="shared" si="1"/>
        <v>121483</v>
      </c>
    </row>
    <row r="65" spans="1:4" ht="18" customHeight="1">
      <c r="A65" s="93">
        <v>1982</v>
      </c>
      <c r="B65" s="297">
        <v>47803</v>
      </c>
      <c r="C65" s="297">
        <v>73638</v>
      </c>
      <c r="D65" s="95">
        <f t="shared" si="1"/>
        <v>121441</v>
      </c>
    </row>
    <row r="66" spans="1:4" ht="18" customHeight="1">
      <c r="A66" s="93">
        <v>1983</v>
      </c>
      <c r="B66" s="297">
        <v>48319</v>
      </c>
      <c r="C66" s="297">
        <v>73009</v>
      </c>
      <c r="D66" s="95">
        <f t="shared" si="1"/>
        <v>121328</v>
      </c>
    </row>
    <row r="67" spans="1:4" ht="18" customHeight="1">
      <c r="A67" s="93">
        <v>1984</v>
      </c>
      <c r="B67" s="297">
        <v>48766</v>
      </c>
      <c r="C67" s="297">
        <v>72811</v>
      </c>
      <c r="D67" s="95">
        <f t="shared" si="1"/>
        <v>121577</v>
      </c>
    </row>
    <row r="68" spans="1:4" ht="18" customHeight="1">
      <c r="A68" s="93">
        <v>1985</v>
      </c>
      <c r="B68" s="297">
        <v>48738</v>
      </c>
      <c r="C68" s="297">
        <v>72087</v>
      </c>
      <c r="D68" s="95">
        <f t="shared" si="1"/>
        <v>120825</v>
      </c>
    </row>
    <row r="69" spans="1:4" ht="18" customHeight="1">
      <c r="A69" s="93">
        <v>1986</v>
      </c>
      <c r="B69" s="297">
        <v>48706</v>
      </c>
      <c r="C69" s="297">
        <v>71537</v>
      </c>
      <c r="D69" s="95">
        <f t="shared" si="1"/>
        <v>120243</v>
      </c>
    </row>
    <row r="70" spans="1:4" ht="18" customHeight="1">
      <c r="A70" s="93">
        <v>1987</v>
      </c>
      <c r="B70" s="94">
        <v>47568</v>
      </c>
      <c r="C70" s="297">
        <v>71796</v>
      </c>
      <c r="D70" s="95">
        <f t="shared" si="1"/>
        <v>119364</v>
      </c>
    </row>
    <row r="71" spans="1:4" ht="18" customHeight="1">
      <c r="A71" s="93">
        <v>1988</v>
      </c>
      <c r="B71" s="94">
        <v>49073</v>
      </c>
      <c r="C71" s="297">
        <v>72969</v>
      </c>
      <c r="D71" s="95">
        <f t="shared" si="1"/>
        <v>122042</v>
      </c>
    </row>
    <row r="72" spans="1:4" ht="18" customHeight="1">
      <c r="A72" s="93">
        <v>1989</v>
      </c>
      <c r="B72" s="94">
        <v>48303</v>
      </c>
      <c r="C72" s="297">
        <v>72794</v>
      </c>
      <c r="D72" s="95">
        <f t="shared" si="1"/>
        <v>121097</v>
      </c>
    </row>
    <row r="73" spans="1:4" ht="18" customHeight="1">
      <c r="A73" s="93">
        <v>1990</v>
      </c>
      <c r="B73" s="94">
        <v>49768</v>
      </c>
      <c r="C73" s="297">
        <v>73923</v>
      </c>
      <c r="D73" s="95">
        <f t="shared" si="1"/>
        <v>123691</v>
      </c>
    </row>
    <row r="74" spans="1:4" ht="18" customHeight="1">
      <c r="A74" s="93">
        <v>1991</v>
      </c>
      <c r="B74" s="94">
        <v>48319</v>
      </c>
      <c r="C74" s="297">
        <v>74912</v>
      </c>
      <c r="D74" s="95">
        <f t="shared" si="1"/>
        <v>123231</v>
      </c>
    </row>
    <row r="75" spans="1:4" ht="18" customHeight="1">
      <c r="A75" s="93">
        <v>1992</v>
      </c>
      <c r="B75" s="94">
        <v>49228</v>
      </c>
      <c r="C75" s="297">
        <v>71523</v>
      </c>
      <c r="D75" s="95">
        <f t="shared" si="1"/>
        <v>120751</v>
      </c>
    </row>
    <row r="76" spans="1:4" ht="18" customHeight="1">
      <c r="A76" s="93">
        <v>1993</v>
      </c>
      <c r="B76" s="94">
        <v>49331</v>
      </c>
      <c r="C76" s="297">
        <v>67619</v>
      </c>
      <c r="D76" s="95">
        <f t="shared" si="1"/>
        <v>116950</v>
      </c>
    </row>
    <row r="77" spans="1:4" ht="18" customHeight="1">
      <c r="A77" s="93">
        <v>1994</v>
      </c>
      <c r="B77" s="94">
        <v>48528</v>
      </c>
      <c r="C77" s="297">
        <v>60911</v>
      </c>
      <c r="D77" s="95">
        <f t="shared" si="1"/>
        <v>109439</v>
      </c>
    </row>
    <row r="78" spans="1:4" ht="18" customHeight="1">
      <c r="A78" s="93">
        <v>1995</v>
      </c>
      <c r="B78" s="94">
        <v>50280</v>
      </c>
      <c r="C78" s="297">
        <v>60017</v>
      </c>
      <c r="D78" s="95">
        <f t="shared" si="1"/>
        <v>110297</v>
      </c>
    </row>
    <row r="79" spans="1:4" ht="18" customHeight="1">
      <c r="A79" s="93">
        <v>1996</v>
      </c>
      <c r="B79" s="94">
        <v>49245</v>
      </c>
      <c r="C79" s="297">
        <v>58765</v>
      </c>
      <c r="D79" s="95">
        <f t="shared" si="1"/>
        <v>108010</v>
      </c>
    </row>
    <row r="80" spans="1:4" ht="18" customHeight="1">
      <c r="A80" s="93">
        <v>1997</v>
      </c>
      <c r="B80" s="94">
        <v>49819</v>
      </c>
      <c r="C80" s="297">
        <v>56094</v>
      </c>
      <c r="D80" s="95">
        <f t="shared" si="1"/>
        <v>105913</v>
      </c>
    </row>
    <row r="81" spans="1:4" ht="18" customHeight="1">
      <c r="A81" s="93">
        <v>1998</v>
      </c>
      <c r="B81" s="94">
        <v>49025</v>
      </c>
      <c r="C81" s="297">
        <v>55093</v>
      </c>
      <c r="D81" s="95">
        <f t="shared" si="1"/>
        <v>104118</v>
      </c>
    </row>
    <row r="82" spans="1:4" ht="18" customHeight="1">
      <c r="A82" s="93">
        <v>1999</v>
      </c>
      <c r="B82" s="94">
        <v>49331</v>
      </c>
      <c r="C82" s="297">
        <v>53343</v>
      </c>
      <c r="D82" s="95">
        <f t="shared" si="1"/>
        <v>102674</v>
      </c>
    </row>
    <row r="83" spans="1:4" ht="18" customHeight="1">
      <c r="A83" s="93">
        <v>2000</v>
      </c>
      <c r="B83" s="94">
        <v>46133</v>
      </c>
      <c r="C83" s="297">
        <v>54793</v>
      </c>
      <c r="D83" s="95">
        <f t="shared" si="1"/>
        <v>100926</v>
      </c>
    </row>
    <row r="84" spans="1:4" ht="18" customHeight="1">
      <c r="A84" s="93">
        <v>2001</v>
      </c>
      <c r="B84" s="94">
        <v>44436</v>
      </c>
      <c r="C84" s="297">
        <v>50936</v>
      </c>
      <c r="D84" s="95">
        <f t="shared" si="1"/>
        <v>95372</v>
      </c>
    </row>
    <row r="85" spans="1:4" ht="18" customHeight="1">
      <c r="A85" s="93">
        <v>2002</v>
      </c>
      <c r="B85" s="297">
        <v>45451</v>
      </c>
      <c r="C85" s="297">
        <v>51347</v>
      </c>
      <c r="D85" s="95">
        <f t="shared" si="1"/>
        <v>96798</v>
      </c>
    </row>
    <row r="86" spans="1:4" ht="18" customHeight="1">
      <c r="A86" s="93">
        <v>2003</v>
      </c>
      <c r="B86" s="297">
        <v>46572</v>
      </c>
      <c r="C86" s="297">
        <v>53539</v>
      </c>
      <c r="D86" s="95">
        <f t="shared" si="1"/>
        <v>100111</v>
      </c>
    </row>
    <row r="87" spans="1:4" ht="18" customHeight="1">
      <c r="A87" s="93">
        <v>2004</v>
      </c>
      <c r="B87" s="95">
        <v>48984</v>
      </c>
      <c r="C87" s="95">
        <v>55570</v>
      </c>
      <c r="D87" s="95">
        <f t="shared" si="1"/>
        <v>104554</v>
      </c>
    </row>
    <row r="88" spans="1:4" ht="18" customHeight="1">
      <c r="A88" s="93">
        <v>2005</v>
      </c>
      <c r="B88" s="95">
        <v>49531</v>
      </c>
      <c r="C88" s="95">
        <v>56441</v>
      </c>
      <c r="D88" s="95">
        <f t="shared" si="1"/>
        <v>105972</v>
      </c>
    </row>
    <row r="89" spans="1:4" ht="18" customHeight="1">
      <c r="A89" s="93">
        <v>2006</v>
      </c>
      <c r="B89" s="95">
        <v>50358</v>
      </c>
      <c r="C89" s="95">
        <v>56555</v>
      </c>
      <c r="D89" s="95">
        <f t="shared" si="1"/>
        <v>106913</v>
      </c>
    </row>
    <row r="90" spans="1:4" ht="18" customHeight="1">
      <c r="A90" s="93">
        <v>2007</v>
      </c>
      <c r="B90" s="95">
        <v>50313</v>
      </c>
      <c r="C90" s="95">
        <v>55985</v>
      </c>
      <c r="D90" s="95">
        <f t="shared" si="1"/>
        <v>106298</v>
      </c>
    </row>
    <row r="91" spans="1:4" ht="18" customHeight="1">
      <c r="A91" s="93">
        <v>2008</v>
      </c>
      <c r="B91" s="95">
        <v>50845</v>
      </c>
      <c r="C91" s="95">
        <v>56602</v>
      </c>
      <c r="D91" s="95">
        <f t="shared" si="1"/>
        <v>107447</v>
      </c>
    </row>
    <row r="92" spans="1:4" ht="18" customHeight="1">
      <c r="A92" s="93">
        <v>2009</v>
      </c>
      <c r="B92" s="95">
        <v>51437</v>
      </c>
      <c r="C92" s="95">
        <v>56411</v>
      </c>
      <c r="D92" s="95">
        <f t="shared" si="1"/>
        <v>107848</v>
      </c>
    </row>
    <row r="93" spans="1:4" ht="18" customHeight="1">
      <c r="A93" s="93">
        <v>2010</v>
      </c>
      <c r="B93" s="95">
        <v>52407</v>
      </c>
      <c r="C93" s="95">
        <v>56292</v>
      </c>
      <c r="D93" s="95">
        <f t="shared" si="1"/>
        <v>108699</v>
      </c>
    </row>
    <row r="94" spans="1:4" ht="18" customHeight="1">
      <c r="A94" s="93">
        <v>2011</v>
      </c>
      <c r="B94" s="95">
        <v>52577</v>
      </c>
      <c r="C94" s="95">
        <v>56953</v>
      </c>
      <c r="D94" s="95">
        <f t="shared" si="1"/>
        <v>109530</v>
      </c>
    </row>
    <row r="95" spans="1:4" ht="18" customHeight="1">
      <c r="A95" s="93">
        <v>2012</v>
      </c>
      <c r="B95" s="95">
        <v>52444</v>
      </c>
      <c r="C95" s="95">
        <v>57675</v>
      </c>
      <c r="D95" s="95">
        <f t="shared" si="1"/>
        <v>110119</v>
      </c>
    </row>
    <row r="96" spans="1:4" ht="18" customHeight="1">
      <c r="A96" s="93">
        <v>2013</v>
      </c>
      <c r="B96" s="95">
        <v>52626</v>
      </c>
      <c r="C96" s="95">
        <v>59356</v>
      </c>
      <c r="D96" s="95">
        <f t="shared" si="1"/>
        <v>111982</v>
      </c>
    </row>
    <row r="97" spans="1:4" ht="18" customHeight="1">
      <c r="A97" s="93">
        <v>2014</v>
      </c>
      <c r="B97" s="95">
        <v>53138</v>
      </c>
      <c r="C97" s="95">
        <v>60041</v>
      </c>
      <c r="D97" s="95">
        <f t="shared" si="1"/>
        <v>113179</v>
      </c>
    </row>
    <row r="98" spans="1:4" ht="18" customHeight="1">
      <c r="A98" s="93">
        <v>2015</v>
      </c>
      <c r="B98" s="95">
        <v>53115</v>
      </c>
      <c r="C98" s="95">
        <v>59461</v>
      </c>
      <c r="D98" s="95">
        <f>SUM(B98:C98)</f>
        <v>112576</v>
      </c>
    </row>
    <row r="99" spans="1:4" ht="18" customHeight="1">
      <c r="A99" s="93">
        <v>2016</v>
      </c>
      <c r="B99" s="95">
        <v>52879</v>
      </c>
      <c r="C99" s="95">
        <v>59350</v>
      </c>
      <c r="D99" s="95">
        <f>SUM(B99:C99)</f>
        <v>112229</v>
      </c>
    </row>
    <row r="100" spans="1:4" ht="18" customHeight="1">
      <c r="A100" s="93">
        <v>2017</v>
      </c>
      <c r="B100" s="95">
        <v>54037</v>
      </c>
      <c r="C100" s="95">
        <v>58587</v>
      </c>
      <c r="D100" s="95">
        <f t="shared" si="1"/>
        <v>112624</v>
      </c>
    </row>
    <row r="101" spans="1:4" ht="18" customHeight="1">
      <c r="A101" s="93">
        <v>2018</v>
      </c>
      <c r="B101" s="95">
        <v>54548</v>
      </c>
      <c r="C101" s="95">
        <v>59568</v>
      </c>
      <c r="D101" s="95">
        <f>SUM(B101:C101)</f>
        <v>114116</v>
      </c>
    </row>
    <row r="102" spans="1:4" ht="18" customHeight="1">
      <c r="A102" s="93">
        <v>2019</v>
      </c>
      <c r="B102" s="95">
        <v>53947</v>
      </c>
      <c r="C102" s="95">
        <v>58641</v>
      </c>
      <c r="D102" s="95">
        <f>SUM(B102:C102)</f>
        <v>112588</v>
      </c>
    </row>
    <row r="103" spans="1:4" s="500" customFormat="1" ht="18" customHeight="1">
      <c r="A103" s="93">
        <v>2020</v>
      </c>
      <c r="B103" s="95">
        <f>50770+2274</f>
        <v>53044</v>
      </c>
      <c r="C103" s="95">
        <v>58525</v>
      </c>
      <c r="D103" s="95">
        <f t="shared" si="1"/>
        <v>111569</v>
      </c>
    </row>
    <row r="104" spans="1:4" s="500" customFormat="1" ht="18" customHeight="1">
      <c r="A104" s="93">
        <v>2021</v>
      </c>
      <c r="B104" s="95">
        <f>49240+2186</f>
        <v>51426</v>
      </c>
      <c r="C104" s="95">
        <v>57376</v>
      </c>
      <c r="D104" s="95">
        <f t="shared" si="1"/>
        <v>108802</v>
      </c>
    </row>
    <row r="105" spans="1:4" s="500" customFormat="1" ht="18" customHeight="1">
      <c r="A105" s="93">
        <v>2022</v>
      </c>
      <c r="B105" s="95">
        <v>56032</v>
      </c>
      <c r="C105" s="95">
        <v>50542</v>
      </c>
      <c r="D105" s="95">
        <f>+B105+C105</f>
        <v>106574</v>
      </c>
    </row>
    <row r="106" spans="1:4" s="500" customFormat="1" ht="18" customHeight="1">
      <c r="A106" s="1056">
        <v>2023</v>
      </c>
      <c r="B106" s="95">
        <v>49873</v>
      </c>
      <c r="C106" s="95">
        <v>56990</v>
      </c>
      <c r="D106" s="95">
        <f>+B106+C106</f>
        <v>106863</v>
      </c>
    </row>
    <row r="107" spans="1:4" s="1031" customFormat="1" ht="18" customHeight="1">
      <c r="A107" s="1024">
        <v>2024</v>
      </c>
      <c r="B107" s="1035">
        <f>+'pobl bach'!AA9</f>
        <v>56997</v>
      </c>
      <c r="C107" s="1035">
        <f>+'pobl bach'!AA11</f>
        <v>50064</v>
      </c>
      <c r="D107" s="1035">
        <f>SUM(B107:C107)</f>
        <v>107061</v>
      </c>
    </row>
    <row r="108" ht="12.75">
      <c r="A108" s="110" t="s">
        <v>511</v>
      </c>
    </row>
    <row r="109" ht="12.75">
      <c r="A109" s="110"/>
    </row>
    <row r="110" ht="12.75">
      <c r="A110" s="98" t="s">
        <v>745</v>
      </c>
    </row>
    <row r="111" ht="12.75">
      <c r="A111" s="98" t="s">
        <v>426</v>
      </c>
    </row>
    <row r="112" ht="12.75">
      <c r="A112" s="114" t="s">
        <v>434</v>
      </c>
    </row>
    <row r="113" ht="12.75">
      <c r="A113" s="98" t="s">
        <v>435</v>
      </c>
    </row>
    <row r="114" ht="12.75">
      <c r="A114" s="114" t="s">
        <v>855</v>
      </c>
    </row>
    <row r="115" spans="1:4" ht="12" customHeight="1">
      <c r="A115" s="114" t="s">
        <v>856</v>
      </c>
      <c r="B115" s="98"/>
      <c r="C115" s="97"/>
      <c r="D115" s="97"/>
    </row>
  </sheetData>
  <sheetProtection/>
  <mergeCells count="4">
    <mergeCell ref="A1:D1"/>
    <mergeCell ref="A2:D2"/>
    <mergeCell ref="A3:D3"/>
    <mergeCell ref="A4:D4"/>
  </mergeCells>
  <printOptions horizontalCentered="1" verticalCentered="1"/>
  <pageMargins left="0.98" right="0.98" top="0.39000000000000007" bottom="0.39000000000000007" header="0.51" footer="0.51"/>
  <pageSetup fitToHeight="2" fitToWidth="1" orientation="portrait" scale="75"/>
  <ignoredErrors>
    <ignoredError sqref="D103 D44:D101" formulaRange="1"/>
  </ignoredErrors>
</worksheet>
</file>

<file path=xl/worksheets/sheet48.xml><?xml version="1.0" encoding="utf-8"?>
<worksheet xmlns="http://schemas.openxmlformats.org/spreadsheetml/2006/main" xmlns:r="http://schemas.openxmlformats.org/officeDocument/2006/relationships">
  <sheetPr>
    <tabColor rgb="FF660066"/>
    <pageSetUpPr fitToPage="1"/>
  </sheetPr>
  <dimension ref="A1:N122"/>
  <sheetViews>
    <sheetView zoomScalePageLayoutView="0" workbookViewId="0" topLeftCell="A1">
      <pane ySplit="6" topLeftCell="A105" activePane="bottomLeft" state="frozen"/>
      <selection pane="topLeft" activeCell="A1" sqref="A1:H1"/>
      <selection pane="bottomLeft" activeCell="A118" sqref="A118"/>
    </sheetView>
  </sheetViews>
  <sheetFormatPr defaultColWidth="10.8515625" defaultRowHeight="12.75"/>
  <cols>
    <col min="1" max="1" width="5.421875" style="68" customWidth="1"/>
    <col min="2" max="2" width="3.28125" style="68" customWidth="1"/>
    <col min="3" max="3" width="10.00390625" style="68" customWidth="1"/>
    <col min="4" max="4" width="1.8515625" style="68" customWidth="1"/>
    <col min="5" max="5" width="8.28125" style="68" customWidth="1"/>
    <col min="6" max="6" width="1.8515625" style="68" customWidth="1"/>
    <col min="7" max="7" width="10.421875" style="68" customWidth="1"/>
    <col min="8" max="8" width="1.8515625" style="68" customWidth="1"/>
    <col min="9" max="9" width="8.8515625" style="68" customWidth="1"/>
    <col min="10" max="10" width="1.8515625" style="68" customWidth="1"/>
    <col min="11" max="11" width="9.421875" style="68" customWidth="1"/>
    <col min="12" max="12" width="1.8515625" style="68" customWidth="1"/>
    <col min="13" max="16384" width="10.8515625" style="68" customWidth="1"/>
  </cols>
  <sheetData>
    <row r="1" spans="1:12" ht="12.75">
      <c r="A1" s="1206" t="s">
        <v>457</v>
      </c>
      <c r="B1" s="1206"/>
      <c r="C1" s="1206"/>
      <c r="D1" s="1206"/>
      <c r="E1" s="1206"/>
      <c r="F1" s="1206"/>
      <c r="G1" s="1206"/>
      <c r="H1" s="1206"/>
      <c r="I1" s="1206"/>
      <c r="J1" s="1206"/>
      <c r="K1" s="1206"/>
      <c r="L1" s="1206"/>
    </row>
    <row r="2" spans="1:12" ht="13.5" customHeight="1">
      <c r="A2" s="1207"/>
      <c r="B2" s="1207"/>
      <c r="C2" s="1207"/>
      <c r="D2" s="1207"/>
      <c r="E2" s="1207"/>
      <c r="F2" s="1207"/>
      <c r="G2" s="1207"/>
      <c r="H2" s="1207"/>
      <c r="I2" s="1207"/>
      <c r="J2" s="1207"/>
      <c r="K2" s="1207"/>
      <c r="L2" s="1207"/>
    </row>
    <row r="3" spans="1:12" ht="18" customHeight="1">
      <c r="A3" s="1207" t="s">
        <v>440</v>
      </c>
      <c r="B3" s="1207"/>
      <c r="C3" s="1207"/>
      <c r="D3" s="1207"/>
      <c r="E3" s="1207"/>
      <c r="F3" s="1207"/>
      <c r="G3" s="1207"/>
      <c r="H3" s="1207"/>
      <c r="I3" s="1207"/>
      <c r="J3" s="1207"/>
      <c r="K3" s="1207"/>
      <c r="L3" s="1207"/>
    </row>
    <row r="4" spans="1:12" ht="18" customHeight="1">
      <c r="A4" s="1208" t="s">
        <v>819</v>
      </c>
      <c r="B4" s="1208"/>
      <c r="C4" s="1208"/>
      <c r="D4" s="1208"/>
      <c r="E4" s="1208"/>
      <c r="F4" s="1208"/>
      <c r="G4" s="1208"/>
      <c r="H4" s="1208"/>
      <c r="I4" s="1208"/>
      <c r="J4" s="1208"/>
      <c r="K4" s="1208"/>
      <c r="L4" s="1208"/>
    </row>
    <row r="5" spans="1:11" ht="13.5" customHeight="1">
      <c r="A5" s="67"/>
      <c r="B5" s="67"/>
      <c r="C5" s="67"/>
      <c r="D5" s="67"/>
      <c r="E5" s="67"/>
      <c r="F5" s="67"/>
      <c r="G5" s="67"/>
      <c r="H5" s="67"/>
      <c r="I5" s="67"/>
      <c r="J5" s="67"/>
      <c r="K5" s="67"/>
    </row>
    <row r="6" spans="1:12" s="89" customFormat="1" ht="18" customHeight="1">
      <c r="A6" s="145" t="s">
        <v>423</v>
      </c>
      <c r="B6" s="145"/>
      <c r="C6" s="146" t="s">
        <v>103</v>
      </c>
      <c r="D6" s="147" t="s">
        <v>441</v>
      </c>
      <c r="E6" s="146" t="s">
        <v>72</v>
      </c>
      <c r="F6" s="147" t="s">
        <v>442</v>
      </c>
      <c r="G6" s="146" t="s">
        <v>73</v>
      </c>
      <c r="H6" s="147" t="s">
        <v>442</v>
      </c>
      <c r="I6" s="146" t="s">
        <v>74</v>
      </c>
      <c r="J6" s="147" t="s">
        <v>442</v>
      </c>
      <c r="K6" s="146" t="s">
        <v>61</v>
      </c>
      <c r="L6" s="148"/>
    </row>
    <row r="7" spans="1:12" ht="18" customHeight="1">
      <c r="A7" s="77">
        <v>1924</v>
      </c>
      <c r="B7" s="69"/>
      <c r="C7" s="74">
        <v>1072.9</v>
      </c>
      <c r="D7" s="70" t="s">
        <v>443</v>
      </c>
      <c r="E7" s="71"/>
      <c r="F7" s="71"/>
      <c r="G7" s="74">
        <v>2971.042116421191</v>
      </c>
      <c r="H7" s="70" t="s">
        <v>444</v>
      </c>
      <c r="I7" s="71"/>
      <c r="J7" s="71"/>
      <c r="K7" s="74">
        <f aca="true" t="shared" si="0" ref="K7:K70">SUM(C7:I7)</f>
        <v>4043.9421164211913</v>
      </c>
      <c r="L7" s="70" t="s">
        <v>443</v>
      </c>
    </row>
    <row r="8" spans="1:12" ht="18" customHeight="1">
      <c r="A8" s="77">
        <v>1925</v>
      </c>
      <c r="B8" s="69"/>
      <c r="C8" s="74">
        <v>1137.13333333333</v>
      </c>
      <c r="D8" s="70" t="s">
        <v>443</v>
      </c>
      <c r="E8" s="71"/>
      <c r="F8" s="71"/>
      <c r="G8" s="74">
        <v>3148.915113542493</v>
      </c>
      <c r="H8" s="70" t="s">
        <v>444</v>
      </c>
      <c r="I8" s="71"/>
      <c r="J8" s="71"/>
      <c r="K8" s="74">
        <f t="shared" si="0"/>
        <v>4286.048446875823</v>
      </c>
      <c r="L8" s="70" t="s">
        <v>443</v>
      </c>
    </row>
    <row r="9" spans="1:12" ht="18" customHeight="1">
      <c r="A9" s="77">
        <v>1926</v>
      </c>
      <c r="B9" s="69"/>
      <c r="C9" s="74">
        <v>1201.36666666667</v>
      </c>
      <c r="D9" s="70" t="s">
        <v>443</v>
      </c>
      <c r="E9" s="71"/>
      <c r="F9" s="71"/>
      <c r="G9" s="74">
        <v>3326.788110663822</v>
      </c>
      <c r="H9" s="70" t="s">
        <v>444</v>
      </c>
      <c r="I9" s="71"/>
      <c r="J9" s="71"/>
      <c r="K9" s="74">
        <f t="shared" si="0"/>
        <v>4528.154777330492</v>
      </c>
      <c r="L9" s="70" t="s">
        <v>443</v>
      </c>
    </row>
    <row r="10" spans="1:12" ht="18" customHeight="1">
      <c r="A10" s="77">
        <v>1927</v>
      </c>
      <c r="B10" s="69"/>
      <c r="C10" s="74">
        <v>1265.6</v>
      </c>
      <c r="D10" s="70" t="s">
        <v>443</v>
      </c>
      <c r="E10" s="71"/>
      <c r="F10" s="71"/>
      <c r="G10" s="74">
        <v>3504.661107785124</v>
      </c>
      <c r="H10" s="70" t="s">
        <v>444</v>
      </c>
      <c r="I10" s="71"/>
      <c r="J10" s="71"/>
      <c r="K10" s="74">
        <f t="shared" si="0"/>
        <v>4770.261107785123</v>
      </c>
      <c r="L10" s="70" t="s">
        <v>443</v>
      </c>
    </row>
    <row r="11" spans="1:12" ht="18" customHeight="1">
      <c r="A11" s="77">
        <v>1928</v>
      </c>
      <c r="B11" s="69"/>
      <c r="C11" s="74">
        <v>1329.83333333333</v>
      </c>
      <c r="D11" s="70" t="s">
        <v>443</v>
      </c>
      <c r="E11" s="72"/>
      <c r="F11" s="72"/>
      <c r="G11" s="74">
        <v>3682.534104906426</v>
      </c>
      <c r="H11" s="70" t="s">
        <v>444</v>
      </c>
      <c r="I11" s="72"/>
      <c r="J11" s="71"/>
      <c r="K11" s="74">
        <f t="shared" si="0"/>
        <v>5012.367438239756</v>
      </c>
      <c r="L11" s="70" t="s">
        <v>443</v>
      </c>
    </row>
    <row r="12" spans="1:12" ht="18" customHeight="1">
      <c r="A12" s="77">
        <v>1929</v>
      </c>
      <c r="B12" s="69"/>
      <c r="C12" s="74">
        <v>1394.06666666667</v>
      </c>
      <c r="D12" s="70" t="s">
        <v>443</v>
      </c>
      <c r="E12" s="72"/>
      <c r="F12" s="72"/>
      <c r="G12" s="74">
        <v>3860.407102027755</v>
      </c>
      <c r="H12" s="70" t="s">
        <v>444</v>
      </c>
      <c r="I12" s="72"/>
      <c r="J12" s="71"/>
      <c r="K12" s="74">
        <f t="shared" si="0"/>
        <v>5254.473768694425</v>
      </c>
      <c r="L12" s="70" t="s">
        <v>443</v>
      </c>
    </row>
    <row r="13" spans="1:12" ht="18" customHeight="1">
      <c r="A13" s="77">
        <v>1930</v>
      </c>
      <c r="B13" s="69"/>
      <c r="C13" s="74">
        <v>1458.3</v>
      </c>
      <c r="D13" s="70" t="s">
        <v>443</v>
      </c>
      <c r="E13" s="72"/>
      <c r="F13" s="72"/>
      <c r="G13" s="74">
        <v>4038.2800991490567</v>
      </c>
      <c r="H13" s="70" t="s">
        <v>444</v>
      </c>
      <c r="I13" s="72"/>
      <c r="J13" s="71"/>
      <c r="K13" s="74">
        <f t="shared" si="0"/>
        <v>5496.580099149057</v>
      </c>
      <c r="L13" s="70" t="s">
        <v>443</v>
      </c>
    </row>
    <row r="14" spans="1:12" ht="18" customHeight="1">
      <c r="A14" s="77">
        <v>1931</v>
      </c>
      <c r="B14" s="69"/>
      <c r="C14" s="74">
        <v>1522.53333333333</v>
      </c>
      <c r="D14" s="70" t="s">
        <v>443</v>
      </c>
      <c r="E14" s="72"/>
      <c r="F14" s="72"/>
      <c r="G14" s="74">
        <v>4216.153096270358</v>
      </c>
      <c r="H14" s="70" t="s">
        <v>444</v>
      </c>
      <c r="I14" s="72"/>
      <c r="J14" s="71"/>
      <c r="K14" s="74">
        <f t="shared" si="0"/>
        <v>5738.686429603688</v>
      </c>
      <c r="L14" s="70" t="s">
        <v>443</v>
      </c>
    </row>
    <row r="15" spans="1:12" ht="18" customHeight="1">
      <c r="A15" s="77">
        <v>1932</v>
      </c>
      <c r="B15" s="69"/>
      <c r="C15" s="74">
        <v>1586.76666666667</v>
      </c>
      <c r="D15" s="70" t="s">
        <v>443</v>
      </c>
      <c r="E15" s="72"/>
      <c r="F15" s="72"/>
      <c r="G15" s="74">
        <v>4394.026093391688</v>
      </c>
      <c r="H15" s="70" t="s">
        <v>444</v>
      </c>
      <c r="I15" s="72"/>
      <c r="J15" s="71"/>
      <c r="K15" s="74">
        <f t="shared" si="0"/>
        <v>5980.792760058358</v>
      </c>
      <c r="L15" s="70" t="s">
        <v>443</v>
      </c>
    </row>
    <row r="16" spans="1:12" ht="18" customHeight="1">
      <c r="A16" s="77">
        <v>1933</v>
      </c>
      <c r="B16" s="69"/>
      <c r="C16" s="74">
        <v>1651</v>
      </c>
      <c r="D16" s="70" t="s">
        <v>443</v>
      </c>
      <c r="E16" s="72"/>
      <c r="F16" s="72"/>
      <c r="G16" s="74">
        <v>4571.8990905129895</v>
      </c>
      <c r="H16" s="70" t="s">
        <v>444</v>
      </c>
      <c r="I16" s="72"/>
      <c r="J16" s="71"/>
      <c r="K16" s="74">
        <f t="shared" si="0"/>
        <v>6222.8990905129895</v>
      </c>
      <c r="L16" s="70" t="s">
        <v>443</v>
      </c>
    </row>
    <row r="17" spans="1:12" ht="18" customHeight="1">
      <c r="A17" s="77">
        <v>1934</v>
      </c>
      <c r="B17" s="69"/>
      <c r="C17" s="74">
        <v>1715.23333333333</v>
      </c>
      <c r="D17" s="70" t="s">
        <v>443</v>
      </c>
      <c r="E17" s="72"/>
      <c r="F17" s="72"/>
      <c r="G17" s="74">
        <v>4749.772087634291</v>
      </c>
      <c r="H17" s="70" t="s">
        <v>444</v>
      </c>
      <c r="I17" s="72"/>
      <c r="J17" s="71"/>
      <c r="K17" s="74">
        <f t="shared" si="0"/>
        <v>6465.005420967621</v>
      </c>
      <c r="L17" s="70" t="s">
        <v>443</v>
      </c>
    </row>
    <row r="18" spans="1:12" ht="18" customHeight="1">
      <c r="A18" s="77">
        <v>1935</v>
      </c>
      <c r="B18" s="69"/>
      <c r="C18" s="74">
        <v>1779.46666666667</v>
      </c>
      <c r="D18" s="70" t="s">
        <v>443</v>
      </c>
      <c r="E18" s="72"/>
      <c r="F18" s="72"/>
      <c r="G18" s="74">
        <v>4927.645084755621</v>
      </c>
      <c r="H18" s="70" t="s">
        <v>444</v>
      </c>
      <c r="I18" s="72"/>
      <c r="J18" s="71"/>
      <c r="K18" s="74">
        <f t="shared" si="0"/>
        <v>6707.111751422291</v>
      </c>
      <c r="L18" s="70" t="s">
        <v>443</v>
      </c>
    </row>
    <row r="19" spans="1:12" ht="18" customHeight="1">
      <c r="A19" s="77">
        <v>1936</v>
      </c>
      <c r="B19" s="69"/>
      <c r="C19" s="74">
        <v>1843.7</v>
      </c>
      <c r="D19" s="70" t="s">
        <v>443</v>
      </c>
      <c r="E19" s="72"/>
      <c r="F19" s="72"/>
      <c r="G19" s="74">
        <v>5105.518081876922</v>
      </c>
      <c r="H19" s="70" t="s">
        <v>444</v>
      </c>
      <c r="I19" s="72"/>
      <c r="J19" s="71"/>
      <c r="K19" s="74">
        <f t="shared" si="0"/>
        <v>6949.218081876922</v>
      </c>
      <c r="L19" s="70" t="s">
        <v>443</v>
      </c>
    </row>
    <row r="20" spans="1:12" ht="18" customHeight="1">
      <c r="A20" s="77">
        <v>1937</v>
      </c>
      <c r="B20" s="69"/>
      <c r="C20" s="74">
        <v>1907.93333333333</v>
      </c>
      <c r="D20" s="70" t="s">
        <v>443</v>
      </c>
      <c r="E20" s="72"/>
      <c r="F20" s="72"/>
      <c r="G20" s="74">
        <v>5283.391078998224</v>
      </c>
      <c r="H20" s="70" t="s">
        <v>444</v>
      </c>
      <c r="I20" s="72"/>
      <c r="J20" s="71"/>
      <c r="K20" s="74">
        <f t="shared" si="0"/>
        <v>7191.3244123315535</v>
      </c>
      <c r="L20" s="70" t="s">
        <v>443</v>
      </c>
    </row>
    <row r="21" spans="1:12" ht="18" customHeight="1">
      <c r="A21" s="77">
        <v>1938</v>
      </c>
      <c r="B21" s="69"/>
      <c r="C21" s="74">
        <v>1972.16666666667</v>
      </c>
      <c r="D21" s="70" t="s">
        <v>443</v>
      </c>
      <c r="E21" s="71"/>
      <c r="F21" s="71"/>
      <c r="G21" s="74">
        <v>5461.2640761195535</v>
      </c>
      <c r="H21" s="70" t="s">
        <v>444</v>
      </c>
      <c r="I21" s="71"/>
      <c r="J21" s="71"/>
      <c r="K21" s="74">
        <f t="shared" si="0"/>
        <v>7433.430742786223</v>
      </c>
      <c r="L21" s="70" t="s">
        <v>443</v>
      </c>
    </row>
    <row r="22" spans="1:13" ht="18" customHeight="1">
      <c r="A22" s="77">
        <v>1939</v>
      </c>
      <c r="B22" s="69"/>
      <c r="C22" s="74">
        <v>1617</v>
      </c>
      <c r="D22" s="71"/>
      <c r="E22" s="71"/>
      <c r="F22" s="71"/>
      <c r="G22" s="74">
        <v>4532</v>
      </c>
      <c r="H22" s="73" t="s">
        <v>445</v>
      </c>
      <c r="I22" s="71"/>
      <c r="J22" s="71"/>
      <c r="K22" s="74">
        <f t="shared" si="0"/>
        <v>6149</v>
      </c>
      <c r="M22" s="72"/>
    </row>
    <row r="23" spans="1:13" ht="18" customHeight="1">
      <c r="A23" s="77">
        <v>1940</v>
      </c>
      <c r="B23" s="69"/>
      <c r="C23" s="74">
        <v>2155</v>
      </c>
      <c r="D23" s="71"/>
      <c r="E23" s="71"/>
      <c r="F23" s="71"/>
      <c r="G23" s="74">
        <v>5480</v>
      </c>
      <c r="H23" s="73" t="s">
        <v>445</v>
      </c>
      <c r="I23" s="71"/>
      <c r="J23" s="71"/>
      <c r="K23" s="74">
        <f t="shared" si="0"/>
        <v>7635</v>
      </c>
      <c r="M23" s="72"/>
    </row>
    <row r="24" spans="1:13" ht="18" customHeight="1">
      <c r="A24" s="77">
        <v>1941</v>
      </c>
      <c r="B24" s="69"/>
      <c r="C24" s="74">
        <v>2306</v>
      </c>
      <c r="D24" s="71"/>
      <c r="E24" s="71"/>
      <c r="F24" s="71"/>
      <c r="G24" s="74">
        <v>5482</v>
      </c>
      <c r="H24" s="73" t="s">
        <v>445</v>
      </c>
      <c r="I24" s="71"/>
      <c r="J24" s="71"/>
      <c r="K24" s="74">
        <f t="shared" si="0"/>
        <v>7788</v>
      </c>
      <c r="M24" s="72"/>
    </row>
    <row r="25" spans="1:13" ht="18" customHeight="1">
      <c r="A25" s="77">
        <v>1942</v>
      </c>
      <c r="B25" s="69"/>
      <c r="C25" s="74">
        <v>2381</v>
      </c>
      <c r="D25" s="71"/>
      <c r="E25" s="71"/>
      <c r="F25" s="71"/>
      <c r="G25" s="74">
        <v>5799</v>
      </c>
      <c r="H25" s="73" t="s">
        <v>445</v>
      </c>
      <c r="I25" s="71"/>
      <c r="J25" s="71"/>
      <c r="K25" s="74">
        <f t="shared" si="0"/>
        <v>8180</v>
      </c>
      <c r="M25" s="72"/>
    </row>
    <row r="26" spans="1:13" ht="18" customHeight="1">
      <c r="A26" s="77">
        <v>1943</v>
      </c>
      <c r="B26" s="69"/>
      <c r="C26" s="74">
        <v>2580</v>
      </c>
      <c r="D26" s="71"/>
      <c r="E26" s="71"/>
      <c r="F26" s="71"/>
      <c r="G26" s="74">
        <v>7077</v>
      </c>
      <c r="H26" s="73" t="s">
        <v>445</v>
      </c>
      <c r="I26" s="71"/>
      <c r="J26" s="71"/>
      <c r="K26" s="74">
        <f t="shared" si="0"/>
        <v>9657</v>
      </c>
      <c r="M26" s="72"/>
    </row>
    <row r="27" spans="1:13" ht="18" customHeight="1">
      <c r="A27" s="77">
        <v>1944</v>
      </c>
      <c r="B27" s="69"/>
      <c r="C27" s="74">
        <v>2427</v>
      </c>
      <c r="D27" s="71"/>
      <c r="E27" s="71"/>
      <c r="F27" s="71"/>
      <c r="G27" s="74">
        <v>6807</v>
      </c>
      <c r="H27" s="73" t="s">
        <v>445</v>
      </c>
      <c r="I27" s="71"/>
      <c r="J27" s="71"/>
      <c r="K27" s="74">
        <f t="shared" si="0"/>
        <v>9234</v>
      </c>
      <c r="M27" s="72"/>
    </row>
    <row r="28" spans="1:13" ht="18" customHeight="1">
      <c r="A28" s="77">
        <v>1945</v>
      </c>
      <c r="B28" s="69"/>
      <c r="C28" s="74">
        <v>2498</v>
      </c>
      <c r="D28" s="71"/>
      <c r="E28" s="71"/>
      <c r="F28" s="71"/>
      <c r="G28" s="74">
        <v>7240</v>
      </c>
      <c r="H28" s="73" t="s">
        <v>445</v>
      </c>
      <c r="I28" s="71"/>
      <c r="J28" s="71"/>
      <c r="K28" s="74">
        <f t="shared" si="0"/>
        <v>9738</v>
      </c>
      <c r="M28" s="72"/>
    </row>
    <row r="29" spans="1:13" ht="18" customHeight="1">
      <c r="A29" s="77">
        <v>1946</v>
      </c>
      <c r="B29" s="69"/>
      <c r="C29" s="74">
        <v>2347</v>
      </c>
      <c r="D29" s="71"/>
      <c r="E29" s="71"/>
      <c r="F29" s="71"/>
      <c r="G29" s="74">
        <v>6974</v>
      </c>
      <c r="H29" s="73" t="s">
        <v>445</v>
      </c>
      <c r="I29" s="71"/>
      <c r="J29" s="71"/>
      <c r="K29" s="74">
        <f t="shared" si="0"/>
        <v>9321</v>
      </c>
      <c r="M29" s="72"/>
    </row>
    <row r="30" spans="1:13" ht="18" customHeight="1">
      <c r="A30" s="77">
        <v>1947</v>
      </c>
      <c r="B30" s="69"/>
      <c r="C30" s="74">
        <v>2329</v>
      </c>
      <c r="D30" s="71"/>
      <c r="E30" s="71"/>
      <c r="F30" s="71"/>
      <c r="G30" s="74">
        <v>6830</v>
      </c>
      <c r="H30" s="73" t="s">
        <v>445</v>
      </c>
      <c r="I30" s="71"/>
      <c r="J30" s="71"/>
      <c r="K30" s="74">
        <f t="shared" si="0"/>
        <v>9159</v>
      </c>
      <c r="M30" s="72"/>
    </row>
    <row r="31" spans="1:13" ht="18" customHeight="1">
      <c r="A31" s="77">
        <v>1948</v>
      </c>
      <c r="B31" s="69"/>
      <c r="C31" s="74">
        <v>1646</v>
      </c>
      <c r="D31" s="71"/>
      <c r="E31" s="71"/>
      <c r="F31" s="71"/>
      <c r="G31" s="74">
        <v>5594</v>
      </c>
      <c r="H31" s="73" t="s">
        <v>445</v>
      </c>
      <c r="I31" s="71"/>
      <c r="J31" s="71"/>
      <c r="K31" s="74">
        <f t="shared" si="0"/>
        <v>7240</v>
      </c>
      <c r="M31" s="72"/>
    </row>
    <row r="32" spans="1:13" ht="18" customHeight="1">
      <c r="A32" s="77">
        <v>1949</v>
      </c>
      <c r="B32" s="69"/>
      <c r="C32" s="74">
        <v>2297</v>
      </c>
      <c r="D32" s="71"/>
      <c r="E32" s="71"/>
      <c r="F32" s="71"/>
      <c r="G32" s="74">
        <v>6487</v>
      </c>
      <c r="H32" s="73" t="s">
        <v>445</v>
      </c>
      <c r="I32" s="71"/>
      <c r="J32" s="71"/>
      <c r="K32" s="74">
        <f t="shared" si="0"/>
        <v>8784</v>
      </c>
      <c r="M32" s="72"/>
    </row>
    <row r="33" spans="1:13" ht="18" customHeight="1">
      <c r="A33" s="77">
        <v>1950</v>
      </c>
      <c r="B33" s="69"/>
      <c r="C33" s="74">
        <v>2373</v>
      </c>
      <c r="D33" s="71"/>
      <c r="E33" s="71"/>
      <c r="F33" s="71"/>
      <c r="G33" s="74">
        <v>6589</v>
      </c>
      <c r="H33" s="73" t="s">
        <v>445</v>
      </c>
      <c r="I33" s="71"/>
      <c r="J33" s="71"/>
      <c r="K33" s="74">
        <f t="shared" si="0"/>
        <v>8962</v>
      </c>
      <c r="M33" s="72"/>
    </row>
    <row r="34" spans="1:14" ht="18" customHeight="1">
      <c r="A34" s="77">
        <v>1951</v>
      </c>
      <c r="B34" s="69"/>
      <c r="C34" s="74">
        <v>4019</v>
      </c>
      <c r="D34" s="71"/>
      <c r="E34" s="71"/>
      <c r="F34" s="71"/>
      <c r="G34" s="74">
        <v>8480</v>
      </c>
      <c r="H34" s="73" t="s">
        <v>445</v>
      </c>
      <c r="I34" s="71"/>
      <c r="J34" s="71"/>
      <c r="K34" s="74">
        <f t="shared" si="0"/>
        <v>12499</v>
      </c>
      <c r="M34" s="72"/>
      <c r="N34" s="72"/>
    </row>
    <row r="35" spans="1:14" ht="18" customHeight="1">
      <c r="A35" s="77">
        <v>1952</v>
      </c>
      <c r="B35" s="77"/>
      <c r="C35" s="74">
        <v>4140</v>
      </c>
      <c r="D35" s="74"/>
      <c r="E35" s="74"/>
      <c r="F35" s="74"/>
      <c r="G35" s="74">
        <v>8983</v>
      </c>
      <c r="H35" s="73" t="s">
        <v>445</v>
      </c>
      <c r="I35" s="74"/>
      <c r="J35" s="74"/>
      <c r="K35" s="74">
        <f t="shared" si="0"/>
        <v>13123</v>
      </c>
      <c r="M35" s="72"/>
      <c r="N35" s="72"/>
    </row>
    <row r="36" spans="1:14" ht="18" customHeight="1">
      <c r="A36" s="77">
        <v>1953</v>
      </c>
      <c r="B36" s="77"/>
      <c r="C36" s="74">
        <v>4195</v>
      </c>
      <c r="D36" s="74"/>
      <c r="E36" s="74"/>
      <c r="F36" s="74"/>
      <c r="G36" s="74">
        <v>9383</v>
      </c>
      <c r="H36" s="73" t="s">
        <v>445</v>
      </c>
      <c r="I36" s="74"/>
      <c r="J36" s="74"/>
      <c r="K36" s="74">
        <f t="shared" si="0"/>
        <v>13578</v>
      </c>
      <c r="M36" s="72"/>
      <c r="N36" s="72"/>
    </row>
    <row r="37" spans="1:14" ht="18" customHeight="1">
      <c r="A37" s="77">
        <v>1954</v>
      </c>
      <c r="B37" s="77"/>
      <c r="C37" s="74">
        <v>4393</v>
      </c>
      <c r="D37" s="74"/>
      <c r="E37" s="74"/>
      <c r="F37" s="74"/>
      <c r="G37" s="74">
        <v>9948</v>
      </c>
      <c r="H37" s="73" t="s">
        <v>445</v>
      </c>
      <c r="I37" s="74"/>
      <c r="J37" s="74"/>
      <c r="K37" s="74">
        <f t="shared" si="0"/>
        <v>14341</v>
      </c>
      <c r="N37" s="72"/>
    </row>
    <row r="38" spans="1:14" ht="18" customHeight="1">
      <c r="A38" s="77">
        <v>1955</v>
      </c>
      <c r="B38" s="77"/>
      <c r="C38" s="74">
        <v>4800</v>
      </c>
      <c r="D38" s="74"/>
      <c r="E38" s="74"/>
      <c r="F38" s="74"/>
      <c r="G38" s="74">
        <v>10865</v>
      </c>
      <c r="H38" s="73" t="s">
        <v>445</v>
      </c>
      <c r="I38" s="74"/>
      <c r="J38" s="74"/>
      <c r="K38" s="74">
        <f t="shared" si="0"/>
        <v>15665</v>
      </c>
      <c r="N38" s="72"/>
    </row>
    <row r="39" spans="1:14" ht="18" customHeight="1">
      <c r="A39" s="77">
        <v>1956</v>
      </c>
      <c r="B39" s="77"/>
      <c r="C39" s="74">
        <v>4253</v>
      </c>
      <c r="D39" s="74"/>
      <c r="E39" s="74"/>
      <c r="F39" s="74"/>
      <c r="G39" s="74">
        <v>10718</v>
      </c>
      <c r="H39" s="73" t="s">
        <v>445</v>
      </c>
      <c r="I39" s="74"/>
      <c r="J39" s="74"/>
      <c r="K39" s="74">
        <f t="shared" si="0"/>
        <v>14971</v>
      </c>
      <c r="N39" s="72"/>
    </row>
    <row r="40" spans="1:14" ht="18" customHeight="1">
      <c r="A40" s="77">
        <v>1957</v>
      </c>
      <c r="B40" s="77"/>
      <c r="C40" s="74">
        <v>5425</v>
      </c>
      <c r="D40" s="74"/>
      <c r="E40" s="74"/>
      <c r="F40" s="74"/>
      <c r="G40" s="74">
        <v>13653</v>
      </c>
      <c r="H40" s="73" t="s">
        <v>445</v>
      </c>
      <c r="I40" s="74"/>
      <c r="J40" s="74"/>
      <c r="K40" s="74">
        <f t="shared" si="0"/>
        <v>19078</v>
      </c>
      <c r="N40" s="72"/>
    </row>
    <row r="41" spans="1:14" ht="18" customHeight="1">
      <c r="A41" s="77">
        <v>1958</v>
      </c>
      <c r="B41" s="77"/>
      <c r="C41" s="74">
        <v>6075</v>
      </c>
      <c r="D41" s="74"/>
      <c r="E41" s="74"/>
      <c r="F41" s="74"/>
      <c r="G41" s="74">
        <v>14071</v>
      </c>
      <c r="H41" s="73" t="s">
        <v>445</v>
      </c>
      <c r="I41" s="74"/>
      <c r="J41" s="74"/>
      <c r="K41" s="74">
        <f t="shared" si="0"/>
        <v>20146</v>
      </c>
      <c r="N41" s="72"/>
    </row>
    <row r="42" spans="1:14" ht="18" customHeight="1">
      <c r="A42" s="77">
        <v>1959</v>
      </c>
      <c r="B42" s="77"/>
      <c r="C42" s="74">
        <v>6742</v>
      </c>
      <c r="D42" s="74"/>
      <c r="E42" s="74"/>
      <c r="F42" s="74"/>
      <c r="G42" s="74">
        <v>16116</v>
      </c>
      <c r="H42" s="73" t="s">
        <v>445</v>
      </c>
      <c r="I42" s="74"/>
      <c r="J42" s="74"/>
      <c r="K42" s="74">
        <f t="shared" si="0"/>
        <v>22858</v>
      </c>
      <c r="N42" s="72"/>
    </row>
    <row r="43" spans="1:14" ht="18" customHeight="1">
      <c r="A43" s="77">
        <v>1960</v>
      </c>
      <c r="B43" s="77"/>
      <c r="C43" s="74">
        <v>10117</v>
      </c>
      <c r="D43" s="74"/>
      <c r="E43" s="74"/>
      <c r="F43" s="74"/>
      <c r="G43" s="74">
        <v>21126</v>
      </c>
      <c r="H43" s="73" t="s">
        <v>445</v>
      </c>
      <c r="I43" s="74"/>
      <c r="J43" s="74"/>
      <c r="K43" s="74">
        <f t="shared" si="0"/>
        <v>31243</v>
      </c>
      <c r="N43" s="72"/>
    </row>
    <row r="44" spans="1:14" ht="18" customHeight="1">
      <c r="A44" s="77">
        <v>1961</v>
      </c>
      <c r="B44" s="77"/>
      <c r="C44" s="74">
        <v>10639</v>
      </c>
      <c r="D44" s="74"/>
      <c r="E44" s="74"/>
      <c r="F44" s="74"/>
      <c r="G44" s="74">
        <v>22455</v>
      </c>
      <c r="H44" s="73" t="s">
        <v>445</v>
      </c>
      <c r="I44" s="74"/>
      <c r="J44" s="74"/>
      <c r="K44" s="74">
        <f t="shared" si="0"/>
        <v>33094</v>
      </c>
      <c r="N44" s="72"/>
    </row>
    <row r="45" spans="1:14" ht="18" customHeight="1">
      <c r="A45" s="77">
        <v>1962</v>
      </c>
      <c r="B45" s="77"/>
      <c r="C45" s="74">
        <v>9546</v>
      </c>
      <c r="D45" s="74"/>
      <c r="E45" s="74"/>
      <c r="F45" s="74"/>
      <c r="G45" s="74">
        <v>20047</v>
      </c>
      <c r="H45" s="73" t="s">
        <v>445</v>
      </c>
      <c r="I45" s="74"/>
      <c r="J45" s="74"/>
      <c r="K45" s="74">
        <f t="shared" si="0"/>
        <v>29593</v>
      </c>
      <c r="N45" s="72"/>
    </row>
    <row r="46" spans="1:14" ht="18" customHeight="1">
      <c r="A46" s="77">
        <v>1963</v>
      </c>
      <c r="B46" s="77"/>
      <c r="C46" s="74">
        <v>11327</v>
      </c>
      <c r="D46" s="74"/>
      <c r="E46" s="74"/>
      <c r="F46" s="74"/>
      <c r="G46" s="74">
        <v>21108</v>
      </c>
      <c r="H46" s="73" t="s">
        <v>445</v>
      </c>
      <c r="I46" s="74"/>
      <c r="J46" s="74"/>
      <c r="K46" s="74">
        <f t="shared" si="0"/>
        <v>32435</v>
      </c>
      <c r="N46" s="72"/>
    </row>
    <row r="47" spans="1:14" ht="18" customHeight="1">
      <c r="A47" s="77">
        <v>1964</v>
      </c>
      <c r="B47" s="77"/>
      <c r="C47" s="74">
        <v>10215</v>
      </c>
      <c r="D47" s="74"/>
      <c r="E47" s="74"/>
      <c r="F47" s="74"/>
      <c r="G47" s="74">
        <v>19104</v>
      </c>
      <c r="H47" s="73" t="s">
        <v>445</v>
      </c>
      <c r="I47" s="74"/>
      <c r="J47" s="74"/>
      <c r="K47" s="74">
        <f t="shared" si="0"/>
        <v>29319</v>
      </c>
      <c r="N47" s="72"/>
    </row>
    <row r="48" spans="1:14" ht="18" customHeight="1">
      <c r="A48" s="77">
        <v>1965</v>
      </c>
      <c r="B48" s="77"/>
      <c r="C48" s="74">
        <v>11558</v>
      </c>
      <c r="D48" s="74"/>
      <c r="E48" s="74"/>
      <c r="F48" s="74"/>
      <c r="G48" s="74">
        <v>22337</v>
      </c>
      <c r="H48" s="73" t="s">
        <v>445</v>
      </c>
      <c r="I48" s="74"/>
      <c r="J48" s="74"/>
      <c r="K48" s="74">
        <f t="shared" si="0"/>
        <v>33895</v>
      </c>
      <c r="N48" s="72"/>
    </row>
    <row r="49" spans="1:14" ht="18" customHeight="1">
      <c r="A49" s="77">
        <v>1966</v>
      </c>
      <c r="B49" s="77"/>
      <c r="C49" s="74">
        <v>12164</v>
      </c>
      <c r="D49" s="74"/>
      <c r="E49" s="74"/>
      <c r="F49" s="74"/>
      <c r="G49" s="74">
        <v>20857</v>
      </c>
      <c r="H49" s="73" t="s">
        <v>445</v>
      </c>
      <c r="I49" s="74"/>
      <c r="J49" s="74"/>
      <c r="K49" s="74">
        <f t="shared" si="0"/>
        <v>33021</v>
      </c>
      <c r="N49" s="72"/>
    </row>
    <row r="50" spans="1:14" ht="18" customHeight="1">
      <c r="A50" s="77">
        <v>1967</v>
      </c>
      <c r="B50" s="77"/>
      <c r="C50" s="74">
        <v>12104</v>
      </c>
      <c r="D50" s="74"/>
      <c r="E50" s="74"/>
      <c r="F50" s="74"/>
      <c r="G50" s="74">
        <v>23230</v>
      </c>
      <c r="H50" s="73" t="s">
        <v>445</v>
      </c>
      <c r="I50" s="74"/>
      <c r="J50" s="74"/>
      <c r="K50" s="74">
        <f t="shared" si="0"/>
        <v>35334</v>
      </c>
      <c r="N50" s="72"/>
    </row>
    <row r="51" spans="1:14" ht="18" customHeight="1">
      <c r="A51" s="77">
        <v>1968</v>
      </c>
      <c r="B51" s="77"/>
      <c r="C51" s="74">
        <v>13769</v>
      </c>
      <c r="D51" s="74"/>
      <c r="E51" s="74"/>
      <c r="F51" s="74"/>
      <c r="G51" s="74">
        <v>27753</v>
      </c>
      <c r="H51" s="73" t="s">
        <v>445</v>
      </c>
      <c r="I51" s="74"/>
      <c r="J51" s="74"/>
      <c r="K51" s="74">
        <f t="shared" si="0"/>
        <v>41522</v>
      </c>
      <c r="N51" s="72"/>
    </row>
    <row r="52" spans="1:14" ht="18" customHeight="1">
      <c r="A52" s="77">
        <v>1969</v>
      </c>
      <c r="B52" s="77"/>
      <c r="C52" s="74">
        <v>12707</v>
      </c>
      <c r="D52" s="74"/>
      <c r="E52" s="74"/>
      <c r="F52" s="74"/>
      <c r="G52" s="74">
        <v>29334</v>
      </c>
      <c r="H52" s="73" t="s">
        <v>445</v>
      </c>
      <c r="I52" s="74"/>
      <c r="J52" s="74"/>
      <c r="K52" s="74">
        <f t="shared" si="0"/>
        <v>42041</v>
      </c>
      <c r="N52" s="72"/>
    </row>
    <row r="53" spans="1:14" ht="18" customHeight="1">
      <c r="A53" s="77">
        <v>1970</v>
      </c>
      <c r="B53" s="77"/>
      <c r="C53" s="74">
        <v>12328</v>
      </c>
      <c r="D53" s="74"/>
      <c r="E53" s="74"/>
      <c r="F53" s="74"/>
      <c r="G53" s="74">
        <v>30465</v>
      </c>
      <c r="H53" s="73" t="s">
        <v>445</v>
      </c>
      <c r="I53" s="74"/>
      <c r="J53" s="74"/>
      <c r="K53" s="74">
        <f t="shared" si="0"/>
        <v>42793</v>
      </c>
      <c r="N53" s="72"/>
    </row>
    <row r="54" spans="1:11" ht="18" customHeight="1">
      <c r="A54" s="77">
        <v>1971</v>
      </c>
      <c r="B54" s="77"/>
      <c r="C54" s="74">
        <f>14978+15059</f>
        <v>30037</v>
      </c>
      <c r="D54" s="74"/>
      <c r="E54" s="74"/>
      <c r="F54" s="74"/>
      <c r="G54" s="74">
        <v>38103</v>
      </c>
      <c r="H54" s="73" t="s">
        <v>445</v>
      </c>
      <c r="I54" s="74"/>
      <c r="J54" s="74"/>
      <c r="K54" s="74">
        <f t="shared" si="0"/>
        <v>68140</v>
      </c>
    </row>
    <row r="55" spans="1:11" ht="18" customHeight="1">
      <c r="A55" s="77">
        <v>1972</v>
      </c>
      <c r="B55" s="77"/>
      <c r="C55" s="74">
        <f>15166+24074</f>
        <v>39240</v>
      </c>
      <c r="D55" s="74"/>
      <c r="E55" s="74"/>
      <c r="F55" s="74"/>
      <c r="G55" s="74">
        <v>42332</v>
      </c>
      <c r="H55" s="73" t="s">
        <v>445</v>
      </c>
      <c r="I55" s="74"/>
      <c r="J55" s="74"/>
      <c r="K55" s="74">
        <f t="shared" si="0"/>
        <v>81572</v>
      </c>
    </row>
    <row r="56" spans="1:13" ht="18" customHeight="1">
      <c r="A56" s="77">
        <v>1973</v>
      </c>
      <c r="B56" s="77"/>
      <c r="C56" s="74">
        <f>16695+28814</f>
        <v>45509</v>
      </c>
      <c r="D56" s="74"/>
      <c r="E56" s="74"/>
      <c r="F56" s="74"/>
      <c r="G56" s="74">
        <v>26262</v>
      </c>
      <c r="H56" s="73" t="s">
        <v>445</v>
      </c>
      <c r="I56" s="72"/>
      <c r="J56" s="74"/>
      <c r="K56" s="74">
        <f t="shared" si="0"/>
        <v>71771</v>
      </c>
      <c r="M56" s="72"/>
    </row>
    <row r="57" spans="1:13" ht="18" customHeight="1">
      <c r="A57" s="77">
        <v>1974</v>
      </c>
      <c r="B57" s="77"/>
      <c r="C57" s="74">
        <f>16460+15937</f>
        <v>32397</v>
      </c>
      <c r="D57" s="74"/>
      <c r="E57" s="74"/>
      <c r="F57" s="74"/>
      <c r="G57" s="74">
        <v>32711</v>
      </c>
      <c r="H57" s="73" t="s">
        <v>445</v>
      </c>
      <c r="I57" s="72"/>
      <c r="J57" s="74"/>
      <c r="K57" s="74">
        <f t="shared" si="0"/>
        <v>65108</v>
      </c>
      <c r="M57" s="72"/>
    </row>
    <row r="58" spans="1:13" ht="18" customHeight="1">
      <c r="A58" s="77">
        <v>1975</v>
      </c>
      <c r="B58" s="77"/>
      <c r="C58" s="74">
        <f>15204+25224</f>
        <v>40428</v>
      </c>
      <c r="D58" s="74"/>
      <c r="E58" s="74"/>
      <c r="F58" s="74"/>
      <c r="G58" s="74">
        <v>33004</v>
      </c>
      <c r="H58" s="73" t="s">
        <v>445</v>
      </c>
      <c r="I58" s="72"/>
      <c r="J58" s="74"/>
      <c r="K58" s="74">
        <f t="shared" si="0"/>
        <v>73432</v>
      </c>
      <c r="M58" s="72"/>
    </row>
    <row r="59" spans="1:13" ht="18" customHeight="1">
      <c r="A59" s="77">
        <v>1976</v>
      </c>
      <c r="B59" s="77"/>
      <c r="C59" s="74">
        <f>17214+25395</f>
        <v>42609</v>
      </c>
      <c r="D59" s="74"/>
      <c r="E59" s="74"/>
      <c r="F59" s="74"/>
      <c r="G59" s="74">
        <v>35600</v>
      </c>
      <c r="H59" s="73" t="s">
        <v>445</v>
      </c>
      <c r="I59" s="72"/>
      <c r="J59" s="74"/>
      <c r="K59" s="74">
        <f t="shared" si="0"/>
        <v>78209</v>
      </c>
      <c r="M59" s="72"/>
    </row>
    <row r="60" spans="1:13" ht="18" customHeight="1">
      <c r="A60" s="77">
        <v>1977</v>
      </c>
      <c r="B60" s="77"/>
      <c r="C60" s="74">
        <f>15045+27215</f>
        <v>42260</v>
      </c>
      <c r="D60" s="74"/>
      <c r="E60" s="74"/>
      <c r="F60" s="74"/>
      <c r="G60" s="74">
        <v>39644</v>
      </c>
      <c r="H60" s="73" t="s">
        <v>445</v>
      </c>
      <c r="I60" s="72"/>
      <c r="J60" s="74"/>
      <c r="K60" s="74">
        <f t="shared" si="0"/>
        <v>81904</v>
      </c>
      <c r="M60" s="72"/>
    </row>
    <row r="61" spans="1:13" ht="18" customHeight="1">
      <c r="A61" s="77">
        <v>1978</v>
      </c>
      <c r="B61" s="77"/>
      <c r="C61" s="74">
        <f>15318+26563</f>
        <v>41881</v>
      </c>
      <c r="D61" s="74"/>
      <c r="E61" s="74"/>
      <c r="F61" s="74"/>
      <c r="G61" s="74">
        <v>39080</v>
      </c>
      <c r="H61" s="73" t="s">
        <v>445</v>
      </c>
      <c r="I61" s="72"/>
      <c r="J61" s="74"/>
      <c r="K61" s="74">
        <f t="shared" si="0"/>
        <v>80961</v>
      </c>
      <c r="M61" s="72"/>
    </row>
    <row r="62" spans="1:13" ht="18" customHeight="1">
      <c r="A62" s="77">
        <v>1979</v>
      </c>
      <c r="B62" s="77"/>
      <c r="C62" s="74">
        <f>15407+26835</f>
        <v>42242</v>
      </c>
      <c r="D62" s="74"/>
      <c r="E62" s="74"/>
      <c r="F62" s="74"/>
      <c r="G62" s="74">
        <v>39336</v>
      </c>
      <c r="H62" s="73" t="s">
        <v>445</v>
      </c>
      <c r="I62" s="72"/>
      <c r="J62" s="74"/>
      <c r="K62" s="74">
        <f t="shared" si="0"/>
        <v>81578</v>
      </c>
      <c r="M62" s="72"/>
    </row>
    <row r="63" spans="1:11" ht="18" customHeight="1">
      <c r="A63" s="77">
        <v>1980</v>
      </c>
      <c r="B63" s="77"/>
      <c r="C63" s="74">
        <v>40313</v>
      </c>
      <c r="D63" s="74"/>
      <c r="E63" s="74">
        <v>1765</v>
      </c>
      <c r="F63" s="74"/>
      <c r="G63" s="74">
        <v>32300</v>
      </c>
      <c r="H63" s="73" t="s">
        <v>446</v>
      </c>
      <c r="I63" s="74"/>
      <c r="J63" s="74"/>
      <c r="K63" s="74">
        <f t="shared" si="0"/>
        <v>74378</v>
      </c>
    </row>
    <row r="64" spans="1:11" ht="18" customHeight="1">
      <c r="A64" s="77">
        <v>1981</v>
      </c>
      <c r="B64" s="77"/>
      <c r="C64" s="74">
        <v>39527</v>
      </c>
      <c r="D64" s="74"/>
      <c r="E64" s="74">
        <v>1771</v>
      </c>
      <c r="F64" s="74"/>
      <c r="G64" s="74">
        <v>32487</v>
      </c>
      <c r="H64" s="73" t="s">
        <v>446</v>
      </c>
      <c r="I64" s="74"/>
      <c r="J64" s="74"/>
      <c r="K64" s="74">
        <f t="shared" si="0"/>
        <v>73785</v>
      </c>
    </row>
    <row r="65" spans="1:11" ht="18" customHeight="1">
      <c r="A65" s="77">
        <v>1982</v>
      </c>
      <c r="B65" s="77"/>
      <c r="C65" s="74">
        <v>40058</v>
      </c>
      <c r="D65" s="74"/>
      <c r="E65" s="74">
        <v>1728</v>
      </c>
      <c r="F65" s="74"/>
      <c r="G65" s="74">
        <v>31775</v>
      </c>
      <c r="H65" s="73" t="s">
        <v>446</v>
      </c>
      <c r="I65" s="74"/>
      <c r="J65" s="74"/>
      <c r="K65" s="74">
        <f t="shared" si="0"/>
        <v>73561</v>
      </c>
    </row>
    <row r="66" spans="1:11" ht="18" customHeight="1">
      <c r="A66" s="77">
        <v>1983</v>
      </c>
      <c r="B66" s="77"/>
      <c r="C66" s="74">
        <v>39103</v>
      </c>
      <c r="D66" s="74"/>
      <c r="E66" s="74">
        <v>1531</v>
      </c>
      <c r="F66" s="74"/>
      <c r="G66" s="74">
        <v>31947</v>
      </c>
      <c r="H66" s="73" t="s">
        <v>446</v>
      </c>
      <c r="I66" s="74"/>
      <c r="J66" s="74"/>
      <c r="K66" s="74">
        <f t="shared" si="0"/>
        <v>72581</v>
      </c>
    </row>
    <row r="67" spans="1:11" ht="18" customHeight="1">
      <c r="A67" s="77">
        <v>1984</v>
      </c>
      <c r="B67" s="77"/>
      <c r="C67" s="74">
        <v>39326</v>
      </c>
      <c r="D67" s="74"/>
      <c r="E67" s="74">
        <v>1803</v>
      </c>
      <c r="F67" s="74"/>
      <c r="G67" s="74">
        <v>32806</v>
      </c>
      <c r="H67" s="73" t="s">
        <v>446</v>
      </c>
      <c r="I67" s="74"/>
      <c r="J67" s="74"/>
      <c r="K67" s="74">
        <f t="shared" si="0"/>
        <v>73935</v>
      </c>
    </row>
    <row r="68" spans="1:11" ht="18" customHeight="1">
      <c r="A68" s="77">
        <v>1985</v>
      </c>
      <c r="B68" s="77"/>
      <c r="C68" s="74">
        <v>39805</v>
      </c>
      <c r="D68" s="74"/>
      <c r="E68" s="74">
        <v>1782</v>
      </c>
      <c r="F68" s="74"/>
      <c r="G68" s="74">
        <v>30816</v>
      </c>
      <c r="H68" s="73" t="s">
        <v>446</v>
      </c>
      <c r="I68" s="74"/>
      <c r="J68" s="74"/>
      <c r="K68" s="74">
        <f t="shared" si="0"/>
        <v>72403</v>
      </c>
    </row>
    <row r="69" spans="1:11" ht="18" customHeight="1">
      <c r="A69" s="77">
        <v>1986</v>
      </c>
      <c r="B69" s="77"/>
      <c r="C69" s="74">
        <v>39163</v>
      </c>
      <c r="D69" s="74"/>
      <c r="E69" s="74">
        <v>1444</v>
      </c>
      <c r="F69" s="74"/>
      <c r="G69" s="74">
        <v>31015</v>
      </c>
      <c r="H69" s="73" t="s">
        <v>446</v>
      </c>
      <c r="I69" s="75"/>
      <c r="J69" s="74"/>
      <c r="K69" s="74">
        <f t="shared" si="0"/>
        <v>71622</v>
      </c>
    </row>
    <row r="70" spans="1:13" ht="18" customHeight="1">
      <c r="A70" s="77">
        <v>1987</v>
      </c>
      <c r="B70" s="77"/>
      <c r="C70" s="74">
        <v>37601</v>
      </c>
      <c r="D70" s="74"/>
      <c r="E70" s="74">
        <v>1204</v>
      </c>
      <c r="F70" s="284" t="s">
        <v>447</v>
      </c>
      <c r="G70" s="74">
        <v>31656</v>
      </c>
      <c r="H70" s="73" t="s">
        <v>446</v>
      </c>
      <c r="I70" s="76"/>
      <c r="J70" s="76"/>
      <c r="K70" s="74">
        <f t="shared" si="0"/>
        <v>70461</v>
      </c>
      <c r="M70" s="74"/>
    </row>
    <row r="71" spans="1:13" ht="18" customHeight="1">
      <c r="A71" s="77">
        <v>1988</v>
      </c>
      <c r="B71" s="77"/>
      <c r="C71" s="74">
        <v>40991</v>
      </c>
      <c r="D71" s="74"/>
      <c r="E71" s="74">
        <v>1250</v>
      </c>
      <c r="F71" s="284" t="s">
        <v>447</v>
      </c>
      <c r="G71" s="74">
        <v>35362</v>
      </c>
      <c r="H71" s="73" t="s">
        <v>446</v>
      </c>
      <c r="I71" s="76"/>
      <c r="J71" s="76"/>
      <c r="K71" s="74">
        <f aca="true" t="shared" si="1" ref="K71:K102">SUM(C71:I71)</f>
        <v>77603</v>
      </c>
      <c r="M71" s="74"/>
    </row>
    <row r="72" spans="1:11" ht="18" customHeight="1">
      <c r="A72" s="77">
        <v>1989</v>
      </c>
      <c r="B72" s="77"/>
      <c r="C72" s="74">
        <v>39652</v>
      </c>
      <c r="D72" s="74"/>
      <c r="E72" s="74">
        <v>1318</v>
      </c>
      <c r="F72" s="284" t="s">
        <v>447</v>
      </c>
      <c r="G72" s="74">
        <v>31765</v>
      </c>
      <c r="H72" s="74"/>
      <c r="I72" s="74">
        <v>4618</v>
      </c>
      <c r="J72" s="73"/>
      <c r="K72" s="74">
        <f t="shared" si="1"/>
        <v>77353</v>
      </c>
    </row>
    <row r="73" spans="1:11" ht="18" customHeight="1">
      <c r="A73" s="77">
        <v>1990</v>
      </c>
      <c r="B73" s="77"/>
      <c r="C73" s="74">
        <v>40754</v>
      </c>
      <c r="D73" s="74"/>
      <c r="E73" s="74">
        <v>1681</v>
      </c>
      <c r="F73" s="284" t="s">
        <v>447</v>
      </c>
      <c r="G73" s="74">
        <v>30800</v>
      </c>
      <c r="H73" s="74"/>
      <c r="I73" s="74">
        <v>5300</v>
      </c>
      <c r="J73" s="74"/>
      <c r="K73" s="74">
        <f t="shared" si="1"/>
        <v>78535</v>
      </c>
    </row>
    <row r="74" spans="1:11" ht="18" customHeight="1">
      <c r="A74" s="77">
        <v>1991</v>
      </c>
      <c r="B74" s="77"/>
      <c r="C74" s="74">
        <v>39678</v>
      </c>
      <c r="D74" s="74"/>
      <c r="E74" s="74">
        <v>1470</v>
      </c>
      <c r="F74" s="284" t="s">
        <v>447</v>
      </c>
      <c r="G74" s="74">
        <v>31159</v>
      </c>
      <c r="H74" s="74"/>
      <c r="I74" s="74">
        <v>5812</v>
      </c>
      <c r="J74" s="74"/>
      <c r="K74" s="74">
        <f t="shared" si="1"/>
        <v>78119</v>
      </c>
    </row>
    <row r="75" spans="1:11" ht="18" customHeight="1">
      <c r="A75" s="77">
        <v>1992</v>
      </c>
      <c r="B75" s="77"/>
      <c r="C75" s="74">
        <v>36775</v>
      </c>
      <c r="D75" s="74"/>
      <c r="E75" s="74">
        <v>1664</v>
      </c>
      <c r="F75" s="284" t="s">
        <v>447</v>
      </c>
      <c r="G75" s="74">
        <v>30653</v>
      </c>
      <c r="H75" s="74"/>
      <c r="I75" s="74">
        <v>5868</v>
      </c>
      <c r="J75" s="74"/>
      <c r="K75" s="74">
        <f t="shared" si="1"/>
        <v>74960</v>
      </c>
    </row>
    <row r="76" spans="1:11" ht="18" customHeight="1">
      <c r="A76" s="77">
        <v>1993</v>
      </c>
      <c r="B76" s="77"/>
      <c r="C76" s="74">
        <v>33812</v>
      </c>
      <c r="D76" s="74"/>
      <c r="E76" s="74">
        <v>1276</v>
      </c>
      <c r="F76" s="284" t="s">
        <v>447</v>
      </c>
      <c r="G76" s="74">
        <v>30861</v>
      </c>
      <c r="H76" s="74"/>
      <c r="I76" s="74">
        <v>5447</v>
      </c>
      <c r="J76" s="74"/>
      <c r="K76" s="74">
        <f t="shared" si="1"/>
        <v>71396</v>
      </c>
    </row>
    <row r="77" spans="1:11" ht="18" customHeight="1">
      <c r="A77" s="77">
        <v>1994</v>
      </c>
      <c r="B77" s="77"/>
      <c r="C77" s="74">
        <v>31841</v>
      </c>
      <c r="D77" s="74"/>
      <c r="E77" s="74">
        <v>1268</v>
      </c>
      <c r="F77" s="284" t="s">
        <v>447</v>
      </c>
      <c r="G77" s="74">
        <v>30728</v>
      </c>
      <c r="H77" s="74"/>
      <c r="I77" s="74">
        <v>6037</v>
      </c>
      <c r="J77" s="74"/>
      <c r="K77" s="74">
        <f t="shared" si="1"/>
        <v>69874</v>
      </c>
    </row>
    <row r="78" spans="1:11" ht="18" customHeight="1">
      <c r="A78" s="77">
        <v>1995</v>
      </c>
      <c r="B78" s="77"/>
      <c r="C78" s="74">
        <v>32190</v>
      </c>
      <c r="D78" s="74"/>
      <c r="E78" s="74">
        <v>1009</v>
      </c>
      <c r="F78" s="284" t="s">
        <v>447</v>
      </c>
      <c r="G78" s="74">
        <v>29665</v>
      </c>
      <c r="H78" s="74"/>
      <c r="I78" s="74">
        <v>6030</v>
      </c>
      <c r="J78" s="74"/>
      <c r="K78" s="74">
        <f t="shared" si="1"/>
        <v>68894</v>
      </c>
    </row>
    <row r="79" spans="1:11" ht="18" customHeight="1">
      <c r="A79" s="77">
        <v>1996</v>
      </c>
      <c r="B79" s="77"/>
      <c r="C79" s="74">
        <v>33243</v>
      </c>
      <c r="D79" s="74"/>
      <c r="E79" s="74">
        <v>1294</v>
      </c>
      <c r="F79" s="284" t="s">
        <v>447</v>
      </c>
      <c r="G79" s="74">
        <v>32220</v>
      </c>
      <c r="H79" s="74"/>
      <c r="I79" s="74">
        <v>6736</v>
      </c>
      <c r="J79" s="74"/>
      <c r="K79" s="74">
        <f t="shared" si="1"/>
        <v>73493</v>
      </c>
    </row>
    <row r="80" spans="1:11" ht="18" customHeight="1">
      <c r="A80" s="77">
        <v>1997</v>
      </c>
      <c r="B80" s="77"/>
      <c r="C80" s="74">
        <v>33353</v>
      </c>
      <c r="D80" s="74"/>
      <c r="E80" s="74">
        <v>1458</v>
      </c>
      <c r="F80" s="284" t="s">
        <v>447</v>
      </c>
      <c r="G80" s="74">
        <v>31742</v>
      </c>
      <c r="H80" s="74"/>
      <c r="I80" s="74">
        <v>6595</v>
      </c>
      <c r="J80" s="74"/>
      <c r="K80" s="74">
        <f t="shared" si="1"/>
        <v>73148</v>
      </c>
    </row>
    <row r="81" spans="1:11" ht="18" customHeight="1">
      <c r="A81" s="77">
        <v>1998</v>
      </c>
      <c r="B81" s="77"/>
      <c r="C81" s="74">
        <v>33382</v>
      </c>
      <c r="D81" s="74"/>
      <c r="E81" s="74">
        <v>1164</v>
      </c>
      <c r="F81" s="284" t="s">
        <v>447</v>
      </c>
      <c r="G81" s="74">
        <v>32581</v>
      </c>
      <c r="H81" s="74"/>
      <c r="I81" s="76">
        <f>6095+792</f>
        <v>6887</v>
      </c>
      <c r="J81" s="76"/>
      <c r="K81" s="74">
        <f t="shared" si="1"/>
        <v>74014</v>
      </c>
    </row>
    <row r="82" spans="1:11" ht="18" customHeight="1">
      <c r="A82" s="77">
        <v>1999</v>
      </c>
      <c r="B82" s="77"/>
      <c r="C82" s="74">
        <v>32940</v>
      </c>
      <c r="D82" s="74"/>
      <c r="E82" s="74">
        <v>1023</v>
      </c>
      <c r="F82" s="284" t="s">
        <v>447</v>
      </c>
      <c r="G82" s="74">
        <v>31477</v>
      </c>
      <c r="H82" s="74"/>
      <c r="I82" s="78">
        <v>6122</v>
      </c>
      <c r="J82" s="78"/>
      <c r="K82" s="74">
        <f t="shared" si="1"/>
        <v>71562</v>
      </c>
    </row>
    <row r="83" spans="1:11" ht="18" customHeight="1">
      <c r="A83" s="77">
        <v>2000</v>
      </c>
      <c r="B83" s="77"/>
      <c r="C83" s="74">
        <v>32530</v>
      </c>
      <c r="D83" s="284" t="s">
        <v>441</v>
      </c>
      <c r="E83" s="74">
        <f>592+141</f>
        <v>733</v>
      </c>
      <c r="F83" s="284" t="s">
        <v>447</v>
      </c>
      <c r="G83" s="74">
        <v>29262</v>
      </c>
      <c r="H83" s="74"/>
      <c r="I83" s="79">
        <v>5933</v>
      </c>
      <c r="J83" s="79"/>
      <c r="K83" s="74">
        <f t="shared" si="1"/>
        <v>68458</v>
      </c>
    </row>
    <row r="84" spans="1:11" ht="18" customHeight="1">
      <c r="A84" s="77">
        <v>2001</v>
      </c>
      <c r="B84" s="77"/>
      <c r="C84" s="74">
        <v>31229</v>
      </c>
      <c r="D84" s="284" t="s">
        <v>441</v>
      </c>
      <c r="E84" s="74">
        <f>815+249</f>
        <v>1064</v>
      </c>
      <c r="F84" s="284" t="s">
        <v>447</v>
      </c>
      <c r="G84" s="74">
        <v>30070</v>
      </c>
      <c r="H84" s="74"/>
      <c r="I84" s="76">
        <v>5980</v>
      </c>
      <c r="J84" s="76"/>
      <c r="K84" s="74">
        <f t="shared" si="1"/>
        <v>68343</v>
      </c>
    </row>
    <row r="85" spans="1:11" ht="18" customHeight="1">
      <c r="A85" s="77">
        <v>2002</v>
      </c>
      <c r="B85" s="77"/>
      <c r="C85" s="74">
        <v>32447</v>
      </c>
      <c r="D85" s="284" t="s">
        <v>441</v>
      </c>
      <c r="E85" s="74">
        <f>769+256</f>
        <v>1025</v>
      </c>
      <c r="F85" s="284" t="s">
        <v>447</v>
      </c>
      <c r="G85" s="74">
        <v>32033</v>
      </c>
      <c r="H85" s="74"/>
      <c r="I85" s="76">
        <v>6776</v>
      </c>
      <c r="J85" s="76"/>
      <c r="K85" s="74">
        <f t="shared" si="1"/>
        <v>72281</v>
      </c>
    </row>
    <row r="86" spans="1:11" ht="18" customHeight="1">
      <c r="A86" s="77">
        <v>2003</v>
      </c>
      <c r="B86" s="77"/>
      <c r="C86" s="74">
        <v>33401</v>
      </c>
      <c r="D86" s="284" t="s">
        <v>441</v>
      </c>
      <c r="E86" s="74">
        <f>491+3+231</f>
        <v>725</v>
      </c>
      <c r="F86" s="284" t="s">
        <v>447</v>
      </c>
      <c r="G86" s="74">
        <v>31784</v>
      </c>
      <c r="H86" s="74"/>
      <c r="I86" s="76">
        <v>6974</v>
      </c>
      <c r="J86" s="76"/>
      <c r="K86" s="74">
        <f t="shared" si="1"/>
        <v>72884</v>
      </c>
    </row>
    <row r="87" spans="1:11" ht="18" customHeight="1">
      <c r="A87" s="77">
        <v>2004</v>
      </c>
      <c r="B87" s="77"/>
      <c r="C87" s="74">
        <v>33880</v>
      </c>
      <c r="D87" s="284" t="s">
        <v>441</v>
      </c>
      <c r="E87" s="74">
        <f>512+252</f>
        <v>764</v>
      </c>
      <c r="F87" s="284" t="s">
        <v>447</v>
      </c>
      <c r="G87" s="74">
        <v>30579</v>
      </c>
      <c r="H87" s="74"/>
      <c r="I87" s="76">
        <v>6936</v>
      </c>
      <c r="J87" s="76"/>
      <c r="K87" s="74">
        <f t="shared" si="1"/>
        <v>72159</v>
      </c>
    </row>
    <row r="88" spans="1:11" ht="18" customHeight="1">
      <c r="A88" s="77">
        <v>2005</v>
      </c>
      <c r="B88" s="77"/>
      <c r="C88" s="74">
        <v>34247</v>
      </c>
      <c r="D88" s="284" t="s">
        <v>441</v>
      </c>
      <c r="E88" s="74">
        <f>1551+212</f>
        <v>1763</v>
      </c>
      <c r="F88" s="284" t="s">
        <v>447</v>
      </c>
      <c r="G88" s="74">
        <v>33106</v>
      </c>
      <c r="H88" s="74"/>
      <c r="I88" s="76">
        <v>7563</v>
      </c>
      <c r="J88" s="76"/>
      <c r="K88" s="74">
        <f t="shared" si="1"/>
        <v>76679</v>
      </c>
    </row>
    <row r="89" spans="1:11" ht="18" customHeight="1">
      <c r="A89" s="77">
        <v>2006</v>
      </c>
      <c r="B89" s="77"/>
      <c r="C89" s="74">
        <v>34279</v>
      </c>
      <c r="D89" s="284" t="s">
        <v>441</v>
      </c>
      <c r="E89" s="74">
        <f>33+255</f>
        <v>288</v>
      </c>
      <c r="F89" s="284" t="s">
        <v>447</v>
      </c>
      <c r="G89" s="74">
        <v>35505</v>
      </c>
      <c r="H89" s="74"/>
      <c r="I89" s="76">
        <v>7873</v>
      </c>
      <c r="J89" s="76"/>
      <c r="K89" s="74">
        <f t="shared" si="1"/>
        <v>77945</v>
      </c>
    </row>
    <row r="90" spans="1:11" ht="18" customHeight="1">
      <c r="A90" s="77">
        <v>2007</v>
      </c>
      <c r="B90" s="77"/>
      <c r="C90" s="74">
        <v>33688</v>
      </c>
      <c r="D90" s="284" t="s">
        <v>441</v>
      </c>
      <c r="E90" s="74">
        <f>108+257</f>
        <v>365</v>
      </c>
      <c r="F90" s="284" t="s">
        <v>447</v>
      </c>
      <c r="G90" s="74">
        <v>36929</v>
      </c>
      <c r="H90" s="74"/>
      <c r="I90" s="76">
        <v>8258</v>
      </c>
      <c r="J90" s="76"/>
      <c r="K90" s="74">
        <f t="shared" si="1"/>
        <v>79240</v>
      </c>
    </row>
    <row r="91" spans="1:11" ht="18" customHeight="1">
      <c r="A91" s="77">
        <v>2008</v>
      </c>
      <c r="B91" s="77"/>
      <c r="C91" s="74">
        <v>34090</v>
      </c>
      <c r="D91" s="284" t="s">
        <v>441</v>
      </c>
      <c r="E91" s="74">
        <f>858+271</f>
        <v>1129</v>
      </c>
      <c r="F91" s="284" t="s">
        <v>447</v>
      </c>
      <c r="G91" s="74">
        <v>37787</v>
      </c>
      <c r="H91" s="74"/>
      <c r="I91" s="76">
        <v>9395</v>
      </c>
      <c r="J91" s="76"/>
      <c r="K91" s="74">
        <f t="shared" si="1"/>
        <v>82401</v>
      </c>
    </row>
    <row r="92" spans="1:11" ht="18" customHeight="1">
      <c r="A92" s="77">
        <v>2009</v>
      </c>
      <c r="B92" s="77"/>
      <c r="C92" s="74">
        <v>34840</v>
      </c>
      <c r="D92" s="284" t="s">
        <v>441</v>
      </c>
      <c r="E92" s="74">
        <f>308+273</f>
        <v>581</v>
      </c>
      <c r="F92" s="284" t="s">
        <v>447</v>
      </c>
      <c r="G92" s="74">
        <v>37683</v>
      </c>
      <c r="H92" s="74"/>
      <c r="I92" s="76">
        <v>9246</v>
      </c>
      <c r="J92" s="76"/>
      <c r="K92" s="74">
        <f t="shared" si="1"/>
        <v>82350</v>
      </c>
    </row>
    <row r="93" spans="1:11" ht="18" customHeight="1">
      <c r="A93" s="77">
        <v>2010</v>
      </c>
      <c r="B93" s="77"/>
      <c r="C93" s="74">
        <v>34861</v>
      </c>
      <c r="D93" s="284" t="s">
        <v>441</v>
      </c>
      <c r="E93" s="74">
        <f>140+286</f>
        <v>426</v>
      </c>
      <c r="F93" s="284" t="s">
        <v>447</v>
      </c>
      <c r="G93" s="74">
        <v>40527</v>
      </c>
      <c r="H93" s="74"/>
      <c r="I93" s="76">
        <v>10197</v>
      </c>
      <c r="J93" s="76"/>
      <c r="K93" s="74">
        <f t="shared" si="1"/>
        <v>86011</v>
      </c>
    </row>
    <row r="94" spans="1:11" ht="18" customHeight="1">
      <c r="A94" s="77">
        <v>2011</v>
      </c>
      <c r="B94" s="77"/>
      <c r="C94" s="281">
        <v>34378</v>
      </c>
      <c r="D94" s="284" t="s">
        <v>441</v>
      </c>
      <c r="E94" s="282">
        <v>279</v>
      </c>
      <c r="F94" s="284" t="s">
        <v>447</v>
      </c>
      <c r="G94" s="281">
        <v>40737</v>
      </c>
      <c r="H94" s="281"/>
      <c r="I94" s="283">
        <v>9641</v>
      </c>
      <c r="J94" s="283"/>
      <c r="K94" s="74">
        <f t="shared" si="1"/>
        <v>85035</v>
      </c>
    </row>
    <row r="95" spans="1:11" ht="18" customHeight="1">
      <c r="A95" s="77">
        <v>2012</v>
      </c>
      <c r="B95" s="77"/>
      <c r="C95" s="281">
        <v>35189</v>
      </c>
      <c r="D95" s="284" t="s">
        <v>441</v>
      </c>
      <c r="E95" s="282">
        <v>291</v>
      </c>
      <c r="F95" s="284" t="s">
        <v>447</v>
      </c>
      <c r="G95" s="281">
        <v>43700</v>
      </c>
      <c r="H95" s="281"/>
      <c r="I95" s="283">
        <v>11032</v>
      </c>
      <c r="J95" s="283"/>
      <c r="K95" s="74">
        <f t="shared" si="1"/>
        <v>90212</v>
      </c>
    </row>
    <row r="96" spans="1:11" s="280" customFormat="1" ht="18" customHeight="1">
      <c r="A96" s="77">
        <v>2013</v>
      </c>
      <c r="B96" s="77"/>
      <c r="C96" s="281">
        <v>36044</v>
      </c>
      <c r="D96" s="284" t="s">
        <v>441</v>
      </c>
      <c r="E96" s="282">
        <v>244</v>
      </c>
      <c r="F96" s="284" t="s">
        <v>447</v>
      </c>
      <c r="G96" s="281">
        <v>43067</v>
      </c>
      <c r="H96" s="281"/>
      <c r="I96" s="283">
        <v>10721</v>
      </c>
      <c r="J96" s="283"/>
      <c r="K96" s="74">
        <f t="shared" si="1"/>
        <v>90076</v>
      </c>
    </row>
    <row r="97" spans="1:11" ht="18" customHeight="1">
      <c r="A97" s="77">
        <v>2014</v>
      </c>
      <c r="B97" s="77"/>
      <c r="C97" s="281">
        <v>36036</v>
      </c>
      <c r="D97" s="284" t="s">
        <v>441</v>
      </c>
      <c r="E97" s="282">
        <v>248</v>
      </c>
      <c r="F97" s="284" t="s">
        <v>447</v>
      </c>
      <c r="G97" s="281">
        <v>44851</v>
      </c>
      <c r="H97" s="281"/>
      <c r="I97" s="283">
        <v>10738</v>
      </c>
      <c r="J97" s="283"/>
      <c r="K97" s="74">
        <f t="shared" si="1"/>
        <v>91873</v>
      </c>
    </row>
    <row r="98" spans="1:11" ht="18" customHeight="1">
      <c r="A98" s="77">
        <v>2015</v>
      </c>
      <c r="B98" s="77"/>
      <c r="C98" s="281">
        <v>35196</v>
      </c>
      <c r="D98" s="284" t="s">
        <v>441</v>
      </c>
      <c r="E98" s="282">
        <v>238</v>
      </c>
      <c r="F98" s="284" t="s">
        <v>447</v>
      </c>
      <c r="G98" s="281">
        <v>45300</v>
      </c>
      <c r="H98" s="281"/>
      <c r="I98" s="283">
        <v>11486</v>
      </c>
      <c r="J98" s="283"/>
      <c r="K98" s="74">
        <f t="shared" si="1"/>
        <v>92220</v>
      </c>
    </row>
    <row r="99" spans="1:11" ht="18" customHeight="1">
      <c r="A99" s="77">
        <v>2016</v>
      </c>
      <c r="B99" s="77"/>
      <c r="C99" s="281">
        <v>35913</v>
      </c>
      <c r="D99" s="284" t="s">
        <v>441</v>
      </c>
      <c r="E99" s="282">
        <v>232</v>
      </c>
      <c r="F99" s="284" t="s">
        <v>447</v>
      </c>
      <c r="G99" s="281">
        <v>46200</v>
      </c>
      <c r="H99" s="281"/>
      <c r="I99" s="283">
        <v>11331</v>
      </c>
      <c r="J99" s="283"/>
      <c r="K99" s="74">
        <f t="shared" si="1"/>
        <v>93676</v>
      </c>
    </row>
    <row r="100" spans="1:11" ht="18" customHeight="1">
      <c r="A100" s="77">
        <v>2017</v>
      </c>
      <c r="B100" s="77"/>
      <c r="C100" s="281">
        <f>773+35379</f>
        <v>36152</v>
      </c>
      <c r="D100" s="284" t="s">
        <v>441</v>
      </c>
      <c r="E100" s="282">
        <v>222</v>
      </c>
      <c r="F100" s="284" t="s">
        <v>447</v>
      </c>
      <c r="G100" s="281">
        <v>44408</v>
      </c>
      <c r="H100" s="281"/>
      <c r="I100" s="283">
        <v>12478</v>
      </c>
      <c r="J100" s="283"/>
      <c r="K100" s="74">
        <f t="shared" si="1"/>
        <v>93260</v>
      </c>
    </row>
    <row r="101" spans="1:11" ht="18" customHeight="1">
      <c r="A101" s="77">
        <v>2018</v>
      </c>
      <c r="B101" s="77"/>
      <c r="C101" s="281">
        <v>36953</v>
      </c>
      <c r="D101" s="284" t="s">
        <v>441</v>
      </c>
      <c r="E101" s="282">
        <v>231</v>
      </c>
      <c r="F101" s="284" t="s">
        <v>447</v>
      </c>
      <c r="G101" s="281">
        <v>46749</v>
      </c>
      <c r="H101" s="281"/>
      <c r="I101" s="283">
        <v>11698</v>
      </c>
      <c r="J101" s="283"/>
      <c r="K101" s="74">
        <f t="shared" si="1"/>
        <v>95631</v>
      </c>
    </row>
    <row r="102" spans="1:14" ht="18" customHeight="1">
      <c r="A102" s="77">
        <v>2019</v>
      </c>
      <c r="B102" s="77"/>
      <c r="C102" s="281">
        <v>34464</v>
      </c>
      <c r="D102" s="284" t="s">
        <v>441</v>
      </c>
      <c r="E102" s="282">
        <v>238</v>
      </c>
      <c r="F102" s="284" t="s">
        <v>447</v>
      </c>
      <c r="G102" s="281">
        <v>48237</v>
      </c>
      <c r="H102" s="281"/>
      <c r="I102" s="283">
        <v>11402</v>
      </c>
      <c r="J102" s="283"/>
      <c r="K102" s="74">
        <f t="shared" si="1"/>
        <v>94341</v>
      </c>
      <c r="N102" s="507"/>
    </row>
    <row r="103" spans="1:11" s="507" customFormat="1" ht="18" customHeight="1">
      <c r="A103" s="77">
        <v>2020</v>
      </c>
      <c r="B103" s="77"/>
      <c r="C103" s="281">
        <f>18321+16006+714</f>
        <v>35041</v>
      </c>
      <c r="D103" s="284" t="s">
        <v>441</v>
      </c>
      <c r="E103" s="282">
        <v>230</v>
      </c>
      <c r="F103" s="284" t="s">
        <v>447</v>
      </c>
      <c r="G103" s="281">
        <v>50795</v>
      </c>
      <c r="H103" s="281"/>
      <c r="I103" s="283">
        <v>12062</v>
      </c>
      <c r="J103" s="283"/>
      <c r="K103" s="74">
        <f>SUM(C103:I103)</f>
        <v>98128</v>
      </c>
    </row>
    <row r="104" spans="1:11" s="507" customFormat="1" ht="18" customHeight="1">
      <c r="A104" s="77">
        <v>2021</v>
      </c>
      <c r="B104" s="77"/>
      <c r="C104" s="281">
        <f>+'pobl escolar'!W21</f>
        <v>35159</v>
      </c>
      <c r="D104" s="284" t="s">
        <v>441</v>
      </c>
      <c r="E104" s="282">
        <v>233</v>
      </c>
      <c r="F104" s="284" t="s">
        <v>447</v>
      </c>
      <c r="G104" s="281">
        <f>+'pobl escolar'!W23</f>
        <v>54364</v>
      </c>
      <c r="H104" s="281"/>
      <c r="I104" s="283">
        <f>+'pobl escolar'!W24</f>
        <v>12368</v>
      </c>
      <c r="J104" s="283"/>
      <c r="K104" s="74">
        <f>SUM(C104:I104)</f>
        <v>102124</v>
      </c>
    </row>
    <row r="105" spans="1:11" s="280" customFormat="1" ht="18" customHeight="1">
      <c r="A105" s="77">
        <v>2022</v>
      </c>
      <c r="B105" s="77"/>
      <c r="C105" s="281">
        <f>+'pobl escolar'!X21</f>
        <v>34593</v>
      </c>
      <c r="D105" s="284" t="s">
        <v>441</v>
      </c>
      <c r="E105" s="282">
        <f>+'pobl escolar'!X20+'pobl escolar'!X22</f>
        <v>224</v>
      </c>
      <c r="F105" s="284" t="s">
        <v>447</v>
      </c>
      <c r="G105" s="281">
        <f>+'pobl escolar'!X23</f>
        <v>52538</v>
      </c>
      <c r="H105" s="281"/>
      <c r="I105" s="283">
        <f>+'pobl escolar'!X24</f>
        <v>13045</v>
      </c>
      <c r="J105" s="283"/>
      <c r="K105" s="74">
        <f>SUM(C105:I105)</f>
        <v>100400</v>
      </c>
    </row>
    <row r="106" spans="1:11" s="507" customFormat="1" ht="18" customHeight="1">
      <c r="A106" s="501">
        <v>2023</v>
      </c>
      <c r="B106" s="501"/>
      <c r="C106" s="502">
        <f>+'pobl escolar'!Y21</f>
        <v>33992</v>
      </c>
      <c r="D106" s="504" t="s">
        <v>441</v>
      </c>
      <c r="E106" s="503">
        <f>+'pobl escolar'!Y20+'pobl escolar'!Y22</f>
        <v>201</v>
      </c>
      <c r="F106" s="504" t="s">
        <v>447</v>
      </c>
      <c r="G106" s="502">
        <f>+'pobl escolar'!Y23</f>
        <v>50245</v>
      </c>
      <c r="H106" s="502"/>
      <c r="I106" s="505">
        <f>+'pobl escolar'!Y24</f>
        <v>12513</v>
      </c>
      <c r="J106" s="505"/>
      <c r="K106" s="506">
        <f>SUM(C106:I106)</f>
        <v>96951</v>
      </c>
    </row>
    <row r="107" spans="1:12" s="507" customFormat="1" ht="18" customHeight="1">
      <c r="A107" s="558" t="s">
        <v>61</v>
      </c>
      <c r="B107" s="558"/>
      <c r="C107" s="559">
        <f>SUM(C7:C106)</f>
        <v>2149022</v>
      </c>
      <c r="D107" s="560"/>
      <c r="E107" s="559">
        <f>SUM(E7:E106)</f>
        <v>40877</v>
      </c>
      <c r="F107" s="560"/>
      <c r="G107" s="559">
        <f>SUM(G7:G106)</f>
        <v>2444509.2964440556</v>
      </c>
      <c r="H107" s="560"/>
      <c r="I107" s="559">
        <f>SUM(I7:I106)</f>
        <v>301098</v>
      </c>
      <c r="J107" s="560"/>
      <c r="K107" s="559">
        <f>SUM(K7:K106)</f>
        <v>4935506.296444056</v>
      </c>
      <c r="L107" s="558"/>
    </row>
    <row r="108" spans="1:11" ht="12.75" customHeight="1">
      <c r="A108" s="77"/>
      <c r="B108" s="77"/>
      <c r="C108" s="281"/>
      <c r="D108" s="281"/>
      <c r="E108" s="283"/>
      <c r="F108" s="283"/>
      <c r="G108" s="281"/>
      <c r="H108" s="281"/>
      <c r="I108" s="283"/>
      <c r="J108" s="283"/>
      <c r="K108" s="281"/>
    </row>
    <row r="109" spans="1:11" ht="12" customHeight="1">
      <c r="A109" s="80" t="s">
        <v>431</v>
      </c>
      <c r="B109" s="80"/>
      <c r="C109" s="81"/>
      <c r="D109" s="81"/>
      <c r="E109" s="82"/>
      <c r="F109" s="82"/>
      <c r="G109" s="81"/>
      <c r="H109" s="81"/>
      <c r="I109" s="82"/>
      <c r="J109" s="82"/>
      <c r="K109" s="81"/>
    </row>
    <row r="110" spans="1:11" ht="12" customHeight="1">
      <c r="A110" s="80" t="s">
        <v>448</v>
      </c>
      <c r="B110" s="80"/>
      <c r="C110" s="81"/>
      <c r="D110" s="81"/>
      <c r="E110" s="82"/>
      <c r="F110" s="82"/>
      <c r="G110" s="81"/>
      <c r="H110" s="81"/>
      <c r="I110" s="82"/>
      <c r="J110" s="82"/>
      <c r="K110" s="81"/>
    </row>
    <row r="111" spans="1:11" ht="12" customHeight="1">
      <c r="A111" s="80" t="s">
        <v>449</v>
      </c>
      <c r="B111" s="80"/>
      <c r="C111" s="81"/>
      <c r="D111" s="81"/>
      <c r="E111" s="82"/>
      <c r="F111" s="82"/>
      <c r="G111" s="81"/>
      <c r="H111" s="81"/>
      <c r="I111" s="82"/>
      <c r="J111" s="82"/>
      <c r="K111" s="81"/>
    </row>
    <row r="112" spans="1:11" ht="12" customHeight="1">
      <c r="A112" s="80" t="s">
        <v>450</v>
      </c>
      <c r="B112" s="80"/>
      <c r="C112" s="81"/>
      <c r="D112" s="81"/>
      <c r="E112" s="82"/>
      <c r="F112" s="82"/>
      <c r="G112" s="81"/>
      <c r="H112" s="81"/>
      <c r="I112" s="82"/>
      <c r="J112" s="82"/>
      <c r="K112" s="81"/>
    </row>
    <row r="113" spans="1:11" ht="12" customHeight="1">
      <c r="A113" s="83" t="s">
        <v>451</v>
      </c>
      <c r="B113" s="83"/>
      <c r="C113" s="84"/>
      <c r="D113" s="84"/>
      <c r="E113" s="85"/>
      <c r="F113" s="85"/>
      <c r="G113" s="84"/>
      <c r="H113" s="84"/>
      <c r="I113" s="85"/>
      <c r="J113" s="85"/>
      <c r="K113" s="84"/>
    </row>
    <row r="114" spans="1:11" ht="12" customHeight="1">
      <c r="A114" s="80" t="s">
        <v>452</v>
      </c>
      <c r="B114" s="83"/>
      <c r="C114" s="84"/>
      <c r="D114" s="84"/>
      <c r="E114" s="85"/>
      <c r="F114" s="85"/>
      <c r="G114" s="84"/>
      <c r="H114" s="84"/>
      <c r="I114" s="85"/>
      <c r="J114" s="85"/>
      <c r="K114" s="84"/>
    </row>
    <row r="115" spans="1:11" ht="12" customHeight="1">
      <c r="A115" s="80" t="s">
        <v>453</v>
      </c>
      <c r="B115" s="83"/>
      <c r="C115" s="84"/>
      <c r="D115" s="84"/>
      <c r="E115" s="85"/>
      <c r="F115" s="85"/>
      <c r="G115" s="84"/>
      <c r="H115" s="84"/>
      <c r="I115" s="85"/>
      <c r="J115" s="85"/>
      <c r="K115" s="84"/>
    </row>
    <row r="116" spans="1:11" ht="12" customHeight="1">
      <c r="A116" s="86"/>
      <c r="B116" s="86"/>
      <c r="C116" s="84"/>
      <c r="D116" s="84"/>
      <c r="E116" s="85"/>
      <c r="F116" s="85"/>
      <c r="G116" s="84"/>
      <c r="H116" s="84"/>
      <c r="I116" s="85"/>
      <c r="J116" s="85"/>
      <c r="K116" s="84"/>
    </row>
    <row r="117" spans="1:11" ht="12" customHeight="1">
      <c r="A117" s="87" t="s">
        <v>745</v>
      </c>
      <c r="B117" s="87"/>
      <c r="C117" s="84"/>
      <c r="D117" s="84"/>
      <c r="E117" s="85"/>
      <c r="F117" s="85"/>
      <c r="G117" s="84"/>
      <c r="H117" s="84"/>
      <c r="I117" s="85"/>
      <c r="J117" s="85"/>
      <c r="K117" s="84"/>
    </row>
    <row r="118" spans="1:11" ht="12" customHeight="1">
      <c r="A118" s="87" t="s">
        <v>454</v>
      </c>
      <c r="B118" s="87"/>
      <c r="C118" s="84"/>
      <c r="D118" s="84"/>
      <c r="E118" s="85"/>
      <c r="F118" s="85"/>
      <c r="G118" s="84"/>
      <c r="H118" s="84"/>
      <c r="I118" s="85"/>
      <c r="J118" s="85"/>
      <c r="K118" s="84"/>
    </row>
    <row r="119" spans="1:11" ht="12" customHeight="1">
      <c r="A119" s="87" t="s">
        <v>455</v>
      </c>
      <c r="B119" s="87"/>
      <c r="C119" s="84"/>
      <c r="D119" s="84"/>
      <c r="E119" s="85"/>
      <c r="F119" s="85"/>
      <c r="G119" s="84"/>
      <c r="H119" s="84"/>
      <c r="I119" s="85"/>
      <c r="J119" s="85"/>
      <c r="K119" s="84"/>
    </row>
    <row r="120" spans="1:11" ht="12" customHeight="1">
      <c r="A120" s="87" t="s">
        <v>456</v>
      </c>
      <c r="B120" s="87"/>
      <c r="C120" s="84"/>
      <c r="D120" s="84"/>
      <c r="E120" s="85"/>
      <c r="F120" s="85"/>
      <c r="G120" s="84"/>
      <c r="H120" s="84"/>
      <c r="I120" s="85"/>
      <c r="J120" s="85"/>
      <c r="K120" s="84"/>
    </row>
    <row r="121" spans="1:11" ht="12" customHeight="1">
      <c r="A121" s="87" t="s">
        <v>820</v>
      </c>
      <c r="B121" s="87"/>
      <c r="C121" s="84"/>
      <c r="D121" s="84"/>
      <c r="E121" s="84"/>
      <c r="F121" s="84"/>
      <c r="G121" s="84"/>
      <c r="H121" s="84"/>
      <c r="I121" s="84"/>
      <c r="J121" s="84"/>
      <c r="K121" s="84"/>
    </row>
    <row r="122" spans="1:11" ht="12" customHeight="1">
      <c r="A122" s="114" t="s">
        <v>817</v>
      </c>
      <c r="B122" s="87"/>
      <c r="C122" s="88"/>
      <c r="D122" s="88"/>
      <c r="E122" s="88"/>
      <c r="F122" s="88"/>
      <c r="G122" s="88"/>
      <c r="H122" s="88"/>
      <c r="I122" s="88"/>
      <c r="J122" s="88"/>
      <c r="K122" s="88"/>
    </row>
    <row r="123" ht="11.25" customHeight="1"/>
  </sheetData>
  <sheetProtection/>
  <mergeCells count="4">
    <mergeCell ref="A1:L1"/>
    <mergeCell ref="A2:L2"/>
    <mergeCell ref="A3:L3"/>
    <mergeCell ref="A4:L4"/>
  </mergeCells>
  <printOptions horizontalCentered="1"/>
  <pageMargins left="0.39000000000000007" right="0.39000000000000007" top="0.39000000000000007" bottom="0.39000000000000007" header="0.39000000000000007" footer="0.39000000000000007"/>
  <pageSetup fitToHeight="2" fitToWidth="1" orientation="portrait" scale="72"/>
</worksheet>
</file>

<file path=xl/worksheets/sheet49.xml><?xml version="1.0" encoding="utf-8"?>
<worksheet xmlns="http://schemas.openxmlformats.org/spreadsheetml/2006/main" xmlns:r="http://schemas.openxmlformats.org/officeDocument/2006/relationships">
  <sheetPr>
    <tabColor rgb="FF660066"/>
    <pageSetUpPr fitToPage="1"/>
  </sheetPr>
  <dimension ref="A1:G113"/>
  <sheetViews>
    <sheetView zoomScalePageLayoutView="0" workbookViewId="0" topLeftCell="A97">
      <selection activeCell="A110" sqref="A110"/>
    </sheetView>
  </sheetViews>
  <sheetFormatPr defaultColWidth="10.8515625" defaultRowHeight="12.75"/>
  <cols>
    <col min="1" max="1" width="10.8515625" style="115" customWidth="1"/>
    <col min="2" max="4" width="13.8515625" style="115" customWidth="1"/>
    <col min="5" max="16384" width="10.8515625" style="115" customWidth="1"/>
  </cols>
  <sheetData>
    <row r="1" spans="1:4" ht="14.25">
      <c r="A1" s="1209" t="s">
        <v>464</v>
      </c>
      <c r="B1" s="1209"/>
      <c r="C1" s="1209"/>
      <c r="D1" s="1209"/>
    </row>
    <row r="2" spans="1:4" ht="14.25">
      <c r="A2" s="1210"/>
      <c r="B2" s="1209"/>
      <c r="C2" s="1209"/>
      <c r="D2" s="1209"/>
    </row>
    <row r="3" spans="1:4" s="116" customFormat="1" ht="18" customHeight="1">
      <c r="A3" s="1211" t="s">
        <v>458</v>
      </c>
      <c r="B3" s="1212"/>
      <c r="C3" s="1212"/>
      <c r="D3" s="1212"/>
    </row>
    <row r="4" spans="1:4" s="116" customFormat="1" ht="18" customHeight="1">
      <c r="A4" s="1213" t="s">
        <v>844</v>
      </c>
      <c r="B4" s="1214"/>
      <c r="C4" s="1214"/>
      <c r="D4" s="1214"/>
    </row>
    <row r="6" spans="1:4" s="126" customFormat="1" ht="18" customHeight="1">
      <c r="A6" s="152" t="s">
        <v>423</v>
      </c>
      <c r="B6" s="153" t="s">
        <v>459</v>
      </c>
      <c r="C6" s="153" t="s">
        <v>460</v>
      </c>
      <c r="D6" s="153" t="s">
        <v>61</v>
      </c>
    </row>
    <row r="7" spans="1:4" ht="18" customHeight="1">
      <c r="A7" s="117">
        <v>1924</v>
      </c>
      <c r="B7" s="118">
        <v>203</v>
      </c>
      <c r="C7" s="118">
        <v>80</v>
      </c>
      <c r="D7" s="118">
        <f aca="true" t="shared" si="0" ref="D7:D70">B7+C7</f>
        <v>283</v>
      </c>
    </row>
    <row r="8" spans="1:4" ht="18" customHeight="1">
      <c r="A8" s="117">
        <v>1925</v>
      </c>
      <c r="B8" s="118">
        <v>218</v>
      </c>
      <c r="C8" s="118">
        <v>75</v>
      </c>
      <c r="D8" s="118">
        <f t="shared" si="0"/>
        <v>293</v>
      </c>
    </row>
    <row r="9" spans="1:4" ht="18" customHeight="1">
      <c r="A9" s="117">
        <v>1926</v>
      </c>
      <c r="B9" s="118">
        <v>220</v>
      </c>
      <c r="C9" s="118">
        <v>63</v>
      </c>
      <c r="D9" s="118">
        <f t="shared" si="0"/>
        <v>283</v>
      </c>
    </row>
    <row r="10" spans="1:4" ht="18" customHeight="1">
      <c r="A10" s="117">
        <v>1927</v>
      </c>
      <c r="B10" s="118">
        <v>210</v>
      </c>
      <c r="C10" s="118">
        <v>108</v>
      </c>
      <c r="D10" s="118">
        <f t="shared" si="0"/>
        <v>318</v>
      </c>
    </row>
    <row r="11" spans="1:4" ht="18" customHeight="1">
      <c r="A11" s="117">
        <v>1928</v>
      </c>
      <c r="B11" s="118">
        <v>227</v>
      </c>
      <c r="C11" s="118">
        <v>98</v>
      </c>
      <c r="D11" s="118">
        <f t="shared" si="0"/>
        <v>325</v>
      </c>
    </row>
    <row r="12" spans="1:4" ht="18" customHeight="1">
      <c r="A12" s="117">
        <v>1929</v>
      </c>
      <c r="B12" s="118">
        <v>273</v>
      </c>
      <c r="C12" s="118">
        <v>146</v>
      </c>
      <c r="D12" s="118">
        <f t="shared" si="0"/>
        <v>419</v>
      </c>
    </row>
    <row r="13" spans="1:4" ht="18" customHeight="1">
      <c r="A13" s="117">
        <v>1930</v>
      </c>
      <c r="B13" s="118">
        <v>255</v>
      </c>
      <c r="C13" s="118">
        <v>145</v>
      </c>
      <c r="D13" s="118">
        <f t="shared" si="0"/>
        <v>400</v>
      </c>
    </row>
    <row r="14" spans="1:4" ht="18" customHeight="1">
      <c r="A14" s="117">
        <v>1931</v>
      </c>
      <c r="B14" s="118">
        <v>277</v>
      </c>
      <c r="C14" s="118">
        <v>128</v>
      </c>
      <c r="D14" s="118">
        <f t="shared" si="0"/>
        <v>405</v>
      </c>
    </row>
    <row r="15" spans="1:4" ht="18" customHeight="1">
      <c r="A15" s="117">
        <v>1932</v>
      </c>
      <c r="B15" s="118">
        <v>329</v>
      </c>
      <c r="C15" s="118">
        <v>118</v>
      </c>
      <c r="D15" s="118">
        <f t="shared" si="0"/>
        <v>447</v>
      </c>
    </row>
    <row r="16" spans="1:4" ht="18" customHeight="1">
      <c r="A16" s="117">
        <v>1933</v>
      </c>
      <c r="B16" s="118">
        <v>412</v>
      </c>
      <c r="C16" s="118">
        <v>169</v>
      </c>
      <c r="D16" s="118">
        <f t="shared" si="0"/>
        <v>581</v>
      </c>
    </row>
    <row r="17" spans="1:4" ht="18" customHeight="1">
      <c r="A17" s="117">
        <v>1934</v>
      </c>
      <c r="B17" s="118">
        <v>564</v>
      </c>
      <c r="C17" s="118">
        <v>185</v>
      </c>
      <c r="D17" s="118">
        <f t="shared" si="0"/>
        <v>749</v>
      </c>
    </row>
    <row r="18" spans="1:4" ht="18" customHeight="1">
      <c r="A18" s="117">
        <v>1935</v>
      </c>
      <c r="B18" s="118">
        <v>511</v>
      </c>
      <c r="C18" s="118">
        <v>164</v>
      </c>
      <c r="D18" s="118">
        <f t="shared" si="0"/>
        <v>675</v>
      </c>
    </row>
    <row r="19" spans="1:4" ht="18" customHeight="1">
      <c r="A19" s="117">
        <v>1936</v>
      </c>
      <c r="B19" s="118">
        <v>569</v>
      </c>
      <c r="C19" s="118">
        <v>151</v>
      </c>
      <c r="D19" s="118">
        <f t="shared" si="0"/>
        <v>720</v>
      </c>
    </row>
    <row r="20" spans="1:4" ht="18" customHeight="1">
      <c r="A20" s="117">
        <v>1937</v>
      </c>
      <c r="B20" s="118">
        <v>646</v>
      </c>
      <c r="C20" s="118">
        <v>175</v>
      </c>
      <c r="D20" s="118">
        <f t="shared" si="0"/>
        <v>821</v>
      </c>
    </row>
    <row r="21" spans="1:4" ht="18" customHeight="1">
      <c r="A21" s="117">
        <v>1938</v>
      </c>
      <c r="B21" s="118">
        <v>552</v>
      </c>
      <c r="C21" s="118">
        <v>111</v>
      </c>
      <c r="D21" s="118">
        <f t="shared" si="0"/>
        <v>663</v>
      </c>
    </row>
    <row r="22" spans="1:4" ht="18" customHeight="1">
      <c r="A22" s="117">
        <v>1939</v>
      </c>
      <c r="B22" s="118">
        <v>602</v>
      </c>
      <c r="C22" s="118">
        <v>122</v>
      </c>
      <c r="D22" s="118">
        <f t="shared" si="0"/>
        <v>724</v>
      </c>
    </row>
    <row r="23" spans="1:4" ht="18" customHeight="1">
      <c r="A23" s="117">
        <v>1940</v>
      </c>
      <c r="B23" s="118">
        <v>610</v>
      </c>
      <c r="C23" s="118">
        <v>96</v>
      </c>
      <c r="D23" s="118">
        <f t="shared" si="0"/>
        <v>706</v>
      </c>
    </row>
    <row r="24" spans="1:4" ht="18" customHeight="1">
      <c r="A24" s="117">
        <v>1941</v>
      </c>
      <c r="B24" s="118">
        <v>611</v>
      </c>
      <c r="C24" s="118">
        <v>124</v>
      </c>
      <c r="D24" s="118">
        <f t="shared" si="0"/>
        <v>735</v>
      </c>
    </row>
    <row r="25" spans="1:4" ht="18" customHeight="1">
      <c r="A25" s="117">
        <v>1942</v>
      </c>
      <c r="B25" s="118">
        <v>670</v>
      </c>
      <c r="C25" s="118">
        <v>169</v>
      </c>
      <c r="D25" s="118">
        <f t="shared" si="0"/>
        <v>839</v>
      </c>
    </row>
    <row r="26" spans="1:4" ht="18" customHeight="1">
      <c r="A26" s="117">
        <v>1943</v>
      </c>
      <c r="B26" s="118">
        <v>744</v>
      </c>
      <c r="C26" s="118">
        <v>175</v>
      </c>
      <c r="D26" s="118">
        <f t="shared" si="0"/>
        <v>919</v>
      </c>
    </row>
    <row r="27" spans="1:4" ht="18" customHeight="1">
      <c r="A27" s="117">
        <v>1944</v>
      </c>
      <c r="B27" s="118">
        <v>784</v>
      </c>
      <c r="C27" s="118">
        <v>250</v>
      </c>
      <c r="D27" s="118">
        <f t="shared" si="0"/>
        <v>1034</v>
      </c>
    </row>
    <row r="28" spans="1:4" ht="18" customHeight="1">
      <c r="A28" s="117">
        <v>1945</v>
      </c>
      <c r="B28" s="118">
        <v>897</v>
      </c>
      <c r="C28" s="118">
        <v>189</v>
      </c>
      <c r="D28" s="118">
        <f t="shared" si="0"/>
        <v>1086</v>
      </c>
    </row>
    <row r="29" spans="1:4" ht="18" customHeight="1">
      <c r="A29" s="117">
        <v>1946</v>
      </c>
      <c r="B29" s="118">
        <v>940</v>
      </c>
      <c r="C29" s="118">
        <v>262</v>
      </c>
      <c r="D29" s="118">
        <f t="shared" si="0"/>
        <v>1202</v>
      </c>
    </row>
    <row r="30" spans="1:4" ht="18" customHeight="1">
      <c r="A30" s="117">
        <v>1947</v>
      </c>
      <c r="B30" s="118">
        <v>1006</v>
      </c>
      <c r="C30" s="118">
        <v>266</v>
      </c>
      <c r="D30" s="118">
        <f t="shared" si="0"/>
        <v>1272</v>
      </c>
    </row>
    <row r="31" spans="1:4" ht="18" customHeight="1">
      <c r="A31" s="117">
        <v>1948</v>
      </c>
      <c r="B31" s="118">
        <v>911</v>
      </c>
      <c r="C31" s="118">
        <v>260</v>
      </c>
      <c r="D31" s="118">
        <f t="shared" si="0"/>
        <v>1171</v>
      </c>
    </row>
    <row r="32" spans="1:4" ht="18" customHeight="1">
      <c r="A32" s="117">
        <v>1949</v>
      </c>
      <c r="B32" s="118">
        <v>1033</v>
      </c>
      <c r="C32" s="118">
        <v>240</v>
      </c>
      <c r="D32" s="118">
        <f t="shared" si="0"/>
        <v>1273</v>
      </c>
    </row>
    <row r="33" spans="1:4" ht="18" customHeight="1">
      <c r="A33" s="117">
        <v>1950</v>
      </c>
      <c r="B33" s="118">
        <v>1045</v>
      </c>
      <c r="C33" s="118">
        <v>284</v>
      </c>
      <c r="D33" s="118">
        <f t="shared" si="0"/>
        <v>1329</v>
      </c>
    </row>
    <row r="34" spans="1:4" ht="18" customHeight="1">
      <c r="A34" s="117">
        <v>1951</v>
      </c>
      <c r="B34" s="118">
        <v>997</v>
      </c>
      <c r="C34" s="118">
        <v>321</v>
      </c>
      <c r="D34" s="118">
        <f t="shared" si="0"/>
        <v>1318</v>
      </c>
    </row>
    <row r="35" spans="1:4" ht="18" customHeight="1">
      <c r="A35" s="117">
        <v>1952</v>
      </c>
      <c r="B35" s="118">
        <v>1031</v>
      </c>
      <c r="C35" s="118">
        <v>337</v>
      </c>
      <c r="D35" s="118">
        <f t="shared" si="0"/>
        <v>1368</v>
      </c>
    </row>
    <row r="36" spans="1:4" ht="18" customHeight="1">
      <c r="A36" s="117">
        <v>1953</v>
      </c>
      <c r="B36" s="118">
        <v>1251</v>
      </c>
      <c r="C36" s="118">
        <v>321</v>
      </c>
      <c r="D36" s="118">
        <f t="shared" si="0"/>
        <v>1572</v>
      </c>
    </row>
    <row r="37" spans="1:4" ht="18" customHeight="1">
      <c r="A37" s="117">
        <v>1954</v>
      </c>
      <c r="B37" s="118">
        <v>1204</v>
      </c>
      <c r="C37" s="118">
        <v>366</v>
      </c>
      <c r="D37" s="118">
        <f t="shared" si="0"/>
        <v>1570</v>
      </c>
    </row>
    <row r="38" spans="1:4" ht="18" customHeight="1">
      <c r="A38" s="117">
        <v>1955</v>
      </c>
      <c r="B38" s="118">
        <v>1258</v>
      </c>
      <c r="C38" s="118">
        <v>292</v>
      </c>
      <c r="D38" s="118">
        <f t="shared" si="0"/>
        <v>1550</v>
      </c>
    </row>
    <row r="39" spans="1:4" ht="18" customHeight="1">
      <c r="A39" s="117">
        <v>1956</v>
      </c>
      <c r="B39" s="118">
        <v>1163</v>
      </c>
      <c r="C39" s="118">
        <v>268</v>
      </c>
      <c r="D39" s="118">
        <f t="shared" si="0"/>
        <v>1431</v>
      </c>
    </row>
    <row r="40" spans="1:4" ht="18" customHeight="1">
      <c r="A40" s="117">
        <v>1957</v>
      </c>
      <c r="B40" s="118">
        <v>1077</v>
      </c>
      <c r="C40" s="118">
        <v>300</v>
      </c>
      <c r="D40" s="118">
        <f t="shared" si="0"/>
        <v>1377</v>
      </c>
    </row>
    <row r="41" spans="1:4" ht="18" customHeight="1">
      <c r="A41" s="117">
        <v>1958</v>
      </c>
      <c r="B41" s="118">
        <v>1203</v>
      </c>
      <c r="C41" s="118">
        <v>340</v>
      </c>
      <c r="D41" s="118">
        <f t="shared" si="0"/>
        <v>1543</v>
      </c>
    </row>
    <row r="42" spans="1:4" ht="18" customHeight="1">
      <c r="A42" s="117">
        <v>1959</v>
      </c>
      <c r="B42" s="118">
        <v>1394</v>
      </c>
      <c r="C42" s="118">
        <v>297</v>
      </c>
      <c r="D42" s="118">
        <f t="shared" si="0"/>
        <v>1691</v>
      </c>
    </row>
    <row r="43" spans="1:4" ht="18" customHeight="1">
      <c r="A43" s="117">
        <v>1960</v>
      </c>
      <c r="B43" s="118">
        <v>1411</v>
      </c>
      <c r="C43" s="118">
        <v>303</v>
      </c>
      <c r="D43" s="118">
        <f t="shared" si="0"/>
        <v>1714</v>
      </c>
    </row>
    <row r="44" spans="1:4" ht="18" customHeight="1">
      <c r="A44" s="117">
        <v>1961</v>
      </c>
      <c r="B44" s="118">
        <v>1463</v>
      </c>
      <c r="C44" s="118">
        <v>331</v>
      </c>
      <c r="D44" s="118">
        <f t="shared" si="0"/>
        <v>1794</v>
      </c>
    </row>
    <row r="45" spans="1:4" ht="18" customHeight="1">
      <c r="A45" s="117">
        <v>1962</v>
      </c>
      <c r="B45" s="118">
        <v>1615</v>
      </c>
      <c r="C45" s="118">
        <v>346</v>
      </c>
      <c r="D45" s="118">
        <f t="shared" si="0"/>
        <v>1961</v>
      </c>
    </row>
    <row r="46" spans="1:4" ht="18" customHeight="1">
      <c r="A46" s="117">
        <v>1963</v>
      </c>
      <c r="B46" s="118">
        <v>2236</v>
      </c>
      <c r="C46" s="118">
        <v>626</v>
      </c>
      <c r="D46" s="118">
        <f t="shared" si="0"/>
        <v>2862</v>
      </c>
    </row>
    <row r="47" spans="1:4" ht="18" customHeight="1">
      <c r="A47" s="117">
        <v>1964</v>
      </c>
      <c r="B47" s="118">
        <v>2429</v>
      </c>
      <c r="C47" s="118">
        <v>526</v>
      </c>
      <c r="D47" s="118">
        <f t="shared" si="0"/>
        <v>2955</v>
      </c>
    </row>
    <row r="48" spans="1:4" ht="18" customHeight="1">
      <c r="A48" s="117">
        <v>1965</v>
      </c>
      <c r="B48" s="118">
        <v>2766</v>
      </c>
      <c r="C48" s="118">
        <v>677</v>
      </c>
      <c r="D48" s="118">
        <f t="shared" si="0"/>
        <v>3443</v>
      </c>
    </row>
    <row r="49" spans="1:4" ht="18" customHeight="1">
      <c r="A49" s="117">
        <v>1966</v>
      </c>
      <c r="B49" s="118">
        <v>2578</v>
      </c>
      <c r="C49" s="118">
        <v>741</v>
      </c>
      <c r="D49" s="118">
        <f t="shared" si="0"/>
        <v>3319</v>
      </c>
    </row>
    <row r="50" spans="1:4" ht="18" customHeight="1">
      <c r="A50" s="117">
        <v>1967</v>
      </c>
      <c r="B50" s="118">
        <v>3170</v>
      </c>
      <c r="C50" s="118">
        <v>936</v>
      </c>
      <c r="D50" s="118">
        <f t="shared" si="0"/>
        <v>4106</v>
      </c>
    </row>
    <row r="51" spans="1:4" ht="18" customHeight="1">
      <c r="A51" s="117">
        <v>1968</v>
      </c>
      <c r="B51" s="118">
        <v>3330</v>
      </c>
      <c r="C51" s="118">
        <v>819</v>
      </c>
      <c r="D51" s="118">
        <f t="shared" si="0"/>
        <v>4149</v>
      </c>
    </row>
    <row r="52" spans="1:4" ht="18" customHeight="1">
      <c r="A52" s="117">
        <v>1969</v>
      </c>
      <c r="B52" s="118">
        <v>4190</v>
      </c>
      <c r="C52" s="118">
        <v>1133</v>
      </c>
      <c r="D52" s="118">
        <f t="shared" si="0"/>
        <v>5323</v>
      </c>
    </row>
    <row r="53" spans="1:4" ht="18" customHeight="1">
      <c r="A53" s="117">
        <v>1970</v>
      </c>
      <c r="B53" s="118">
        <v>4570</v>
      </c>
      <c r="C53" s="118">
        <v>1214</v>
      </c>
      <c r="D53" s="118">
        <f t="shared" si="0"/>
        <v>5784</v>
      </c>
    </row>
    <row r="54" spans="1:4" ht="18" customHeight="1">
      <c r="A54" s="117">
        <v>1971</v>
      </c>
      <c r="B54" s="118">
        <v>5226</v>
      </c>
      <c r="C54" s="118">
        <v>1345</v>
      </c>
      <c r="D54" s="118">
        <f t="shared" si="0"/>
        <v>6571</v>
      </c>
    </row>
    <row r="55" spans="1:4" ht="18" customHeight="1">
      <c r="A55" s="117">
        <v>1972</v>
      </c>
      <c r="B55" s="118">
        <v>4142</v>
      </c>
      <c r="C55" s="118">
        <v>1105</v>
      </c>
      <c r="D55" s="118">
        <f t="shared" si="0"/>
        <v>5247</v>
      </c>
    </row>
    <row r="56" spans="1:4" ht="18" customHeight="1">
      <c r="A56" s="117">
        <v>1973</v>
      </c>
      <c r="B56" s="118">
        <v>5358</v>
      </c>
      <c r="C56" s="118">
        <v>1413</v>
      </c>
      <c r="D56" s="118">
        <f t="shared" si="0"/>
        <v>6771</v>
      </c>
    </row>
    <row r="57" spans="1:4" ht="18" customHeight="1">
      <c r="A57" s="117">
        <v>1974</v>
      </c>
      <c r="B57" s="118">
        <v>3498</v>
      </c>
      <c r="C57" s="118">
        <v>1123</v>
      </c>
      <c r="D57" s="118">
        <f t="shared" si="0"/>
        <v>4621</v>
      </c>
    </row>
    <row r="58" spans="1:4" ht="18" customHeight="1">
      <c r="A58" s="117">
        <v>1975</v>
      </c>
      <c r="B58" s="118">
        <v>5396</v>
      </c>
      <c r="C58" s="118">
        <v>1738</v>
      </c>
      <c r="D58" s="118">
        <f t="shared" si="0"/>
        <v>7134</v>
      </c>
    </row>
    <row r="59" spans="1:4" ht="18" customHeight="1">
      <c r="A59" s="117">
        <v>1976</v>
      </c>
      <c r="B59" s="118">
        <v>6204</v>
      </c>
      <c r="C59" s="118">
        <v>2197</v>
      </c>
      <c r="D59" s="118">
        <f t="shared" si="0"/>
        <v>8401</v>
      </c>
    </row>
    <row r="60" spans="1:4" ht="18" customHeight="1">
      <c r="A60" s="117">
        <v>1977</v>
      </c>
      <c r="B60" s="118">
        <v>6801</v>
      </c>
      <c r="C60" s="118">
        <v>2457</v>
      </c>
      <c r="D60" s="118">
        <f t="shared" si="0"/>
        <v>9258</v>
      </c>
    </row>
    <row r="61" spans="1:4" ht="18" customHeight="1">
      <c r="A61" s="117">
        <v>1978</v>
      </c>
      <c r="B61" s="118">
        <v>6740</v>
      </c>
      <c r="C61" s="118">
        <v>2570</v>
      </c>
      <c r="D61" s="118">
        <f t="shared" si="0"/>
        <v>9310</v>
      </c>
    </row>
    <row r="62" spans="1:4" ht="18" customHeight="1">
      <c r="A62" s="117">
        <v>1979</v>
      </c>
      <c r="B62" s="118">
        <v>6555</v>
      </c>
      <c r="C62" s="118">
        <v>2957</v>
      </c>
      <c r="D62" s="118">
        <f t="shared" si="0"/>
        <v>9512</v>
      </c>
    </row>
    <row r="63" spans="1:4" ht="18" customHeight="1">
      <c r="A63" s="117">
        <v>1980</v>
      </c>
      <c r="B63" s="118">
        <v>5763</v>
      </c>
      <c r="C63" s="118">
        <v>2917</v>
      </c>
      <c r="D63" s="118">
        <f t="shared" si="0"/>
        <v>8680</v>
      </c>
    </row>
    <row r="64" spans="1:4" ht="18" customHeight="1">
      <c r="A64" s="117">
        <v>1981</v>
      </c>
      <c r="B64" s="118">
        <v>6157</v>
      </c>
      <c r="C64" s="118">
        <v>3167</v>
      </c>
      <c r="D64" s="118">
        <f t="shared" si="0"/>
        <v>9324</v>
      </c>
    </row>
    <row r="65" spans="1:4" ht="18" customHeight="1">
      <c r="A65" s="117">
        <v>1982</v>
      </c>
      <c r="B65" s="118">
        <v>6326</v>
      </c>
      <c r="C65" s="118">
        <v>3344</v>
      </c>
      <c r="D65" s="118">
        <f t="shared" si="0"/>
        <v>9670</v>
      </c>
    </row>
    <row r="66" spans="1:4" ht="18" customHeight="1">
      <c r="A66" s="117">
        <v>1983</v>
      </c>
      <c r="B66" s="118">
        <v>6416</v>
      </c>
      <c r="C66" s="118">
        <v>3520</v>
      </c>
      <c r="D66" s="118">
        <f t="shared" si="0"/>
        <v>9936</v>
      </c>
    </row>
    <row r="67" spans="1:4" ht="18" customHeight="1">
      <c r="A67" s="117">
        <v>1984</v>
      </c>
      <c r="B67" s="118">
        <v>6467</v>
      </c>
      <c r="C67" s="118">
        <v>3991</v>
      </c>
      <c r="D67" s="118">
        <f t="shared" si="0"/>
        <v>10458</v>
      </c>
    </row>
    <row r="68" spans="1:4" ht="18" customHeight="1">
      <c r="A68" s="117">
        <v>1985</v>
      </c>
      <c r="B68" s="118">
        <v>6712</v>
      </c>
      <c r="C68" s="118">
        <v>4247</v>
      </c>
      <c r="D68" s="118">
        <f t="shared" si="0"/>
        <v>10959</v>
      </c>
    </row>
    <row r="69" spans="1:4" ht="18" customHeight="1">
      <c r="A69" s="117">
        <v>1986</v>
      </c>
      <c r="B69" s="118">
        <v>7365</v>
      </c>
      <c r="C69" s="118">
        <v>5592</v>
      </c>
      <c r="D69" s="118">
        <f t="shared" si="0"/>
        <v>12957</v>
      </c>
    </row>
    <row r="70" spans="1:4" ht="18" customHeight="1">
      <c r="A70" s="117">
        <v>1987</v>
      </c>
      <c r="B70" s="118">
        <v>6147</v>
      </c>
      <c r="C70" s="118">
        <v>4841</v>
      </c>
      <c r="D70" s="118">
        <f t="shared" si="0"/>
        <v>10988</v>
      </c>
    </row>
    <row r="71" spans="1:4" ht="18" customHeight="1">
      <c r="A71" s="117">
        <v>1988</v>
      </c>
      <c r="B71" s="118">
        <v>5936</v>
      </c>
      <c r="C71" s="118">
        <v>5916</v>
      </c>
      <c r="D71" s="118">
        <f aca="true" t="shared" si="1" ref="D71:D92">B71+C71</f>
        <v>11852</v>
      </c>
    </row>
    <row r="72" spans="1:4" ht="18" customHeight="1">
      <c r="A72" s="117">
        <v>1989</v>
      </c>
      <c r="B72" s="118">
        <v>6547</v>
      </c>
      <c r="C72" s="118">
        <v>4846</v>
      </c>
      <c r="D72" s="118">
        <f t="shared" si="1"/>
        <v>11393</v>
      </c>
    </row>
    <row r="73" spans="1:4" ht="18" customHeight="1">
      <c r="A73" s="117">
        <v>1990</v>
      </c>
      <c r="B73" s="118">
        <v>6040</v>
      </c>
      <c r="C73" s="118">
        <v>4638</v>
      </c>
      <c r="D73" s="118">
        <f t="shared" si="1"/>
        <v>10678</v>
      </c>
    </row>
    <row r="74" spans="1:4" ht="18" customHeight="1">
      <c r="A74" s="117">
        <v>1991</v>
      </c>
      <c r="B74" s="118">
        <v>5716</v>
      </c>
      <c r="C74" s="118">
        <v>4175</v>
      </c>
      <c r="D74" s="118">
        <f t="shared" si="1"/>
        <v>9891</v>
      </c>
    </row>
    <row r="75" spans="1:4" ht="18" customHeight="1">
      <c r="A75" s="117">
        <v>1992</v>
      </c>
      <c r="B75" s="118">
        <v>5722</v>
      </c>
      <c r="C75" s="118">
        <v>4632</v>
      </c>
      <c r="D75" s="118">
        <f t="shared" si="1"/>
        <v>10354</v>
      </c>
    </row>
    <row r="76" spans="1:4" ht="18" customHeight="1">
      <c r="A76" s="117">
        <v>1993</v>
      </c>
      <c r="B76" s="118">
        <v>7076</v>
      </c>
      <c r="C76" s="118">
        <v>6254</v>
      </c>
      <c r="D76" s="118">
        <f t="shared" si="1"/>
        <v>13330</v>
      </c>
    </row>
    <row r="77" spans="1:4" ht="18" customHeight="1">
      <c r="A77" s="117">
        <v>1994</v>
      </c>
      <c r="B77" s="118">
        <v>5608</v>
      </c>
      <c r="C77" s="118">
        <v>5970</v>
      </c>
      <c r="D77" s="118">
        <f t="shared" si="1"/>
        <v>11578</v>
      </c>
    </row>
    <row r="78" spans="1:4" ht="18" customHeight="1">
      <c r="A78" s="117">
        <v>1995</v>
      </c>
      <c r="B78" s="118">
        <v>6133</v>
      </c>
      <c r="C78" s="118">
        <v>5890</v>
      </c>
      <c r="D78" s="118">
        <f t="shared" si="1"/>
        <v>12023</v>
      </c>
    </row>
    <row r="79" spans="1:4" ht="18" customHeight="1">
      <c r="A79" s="117">
        <v>1996</v>
      </c>
      <c r="B79" s="118">
        <v>5971</v>
      </c>
      <c r="C79" s="118">
        <v>6112</v>
      </c>
      <c r="D79" s="118">
        <f t="shared" si="1"/>
        <v>12083</v>
      </c>
    </row>
    <row r="80" spans="1:4" ht="18" customHeight="1">
      <c r="A80" s="117">
        <v>1997</v>
      </c>
      <c r="B80" s="118">
        <v>6267</v>
      </c>
      <c r="C80" s="118">
        <v>7275</v>
      </c>
      <c r="D80" s="118">
        <f t="shared" si="1"/>
        <v>13542</v>
      </c>
    </row>
    <row r="81" spans="1:4" ht="18" customHeight="1">
      <c r="A81" s="117">
        <v>1998</v>
      </c>
      <c r="B81" s="118">
        <v>5513</v>
      </c>
      <c r="C81" s="118">
        <v>6495</v>
      </c>
      <c r="D81" s="118">
        <f t="shared" si="1"/>
        <v>12008</v>
      </c>
    </row>
    <row r="82" spans="1:4" ht="18" customHeight="1">
      <c r="A82" s="117">
        <v>1999</v>
      </c>
      <c r="B82" s="118">
        <v>2967</v>
      </c>
      <c r="C82" s="118">
        <v>3665</v>
      </c>
      <c r="D82" s="118">
        <f t="shared" si="1"/>
        <v>6632</v>
      </c>
    </row>
    <row r="83" spans="1:4" ht="18" customHeight="1">
      <c r="A83" s="117">
        <v>2000</v>
      </c>
      <c r="B83" s="118">
        <v>5113</v>
      </c>
      <c r="C83" s="118">
        <v>5816</v>
      </c>
      <c r="D83" s="118">
        <f t="shared" si="1"/>
        <v>10929</v>
      </c>
    </row>
    <row r="84" spans="1:4" ht="18" customHeight="1">
      <c r="A84" s="117">
        <v>2001</v>
      </c>
      <c r="B84" s="118">
        <v>5891</v>
      </c>
      <c r="C84" s="118">
        <v>7450</v>
      </c>
      <c r="D84" s="118">
        <f t="shared" si="1"/>
        <v>13341</v>
      </c>
    </row>
    <row r="85" spans="1:4" ht="18" customHeight="1">
      <c r="A85" s="117">
        <v>2002</v>
      </c>
      <c r="B85" s="118">
        <v>5980</v>
      </c>
      <c r="C85" s="118">
        <v>7364</v>
      </c>
      <c r="D85" s="118">
        <f t="shared" si="1"/>
        <v>13344</v>
      </c>
    </row>
    <row r="86" spans="1:4" ht="18" customHeight="1">
      <c r="A86" s="117">
        <v>2003</v>
      </c>
      <c r="B86" s="118">
        <v>5969</v>
      </c>
      <c r="C86" s="118">
        <v>7351</v>
      </c>
      <c r="D86" s="118">
        <f t="shared" si="1"/>
        <v>13320</v>
      </c>
    </row>
    <row r="87" spans="1:4" ht="18" customHeight="1">
      <c r="A87" s="117">
        <v>2004</v>
      </c>
      <c r="B87" s="118">
        <v>5632</v>
      </c>
      <c r="C87" s="118">
        <v>6928</v>
      </c>
      <c r="D87" s="118">
        <f t="shared" si="1"/>
        <v>12560</v>
      </c>
    </row>
    <row r="88" spans="1:4" ht="18" customHeight="1">
      <c r="A88" s="117">
        <v>2005</v>
      </c>
      <c r="B88" s="118">
        <v>5590</v>
      </c>
      <c r="C88" s="118">
        <v>7509</v>
      </c>
      <c r="D88" s="118">
        <f t="shared" si="1"/>
        <v>13099</v>
      </c>
    </row>
    <row r="89" spans="1:4" ht="18" customHeight="1">
      <c r="A89" s="117">
        <v>2006</v>
      </c>
      <c r="B89" s="118">
        <v>5960</v>
      </c>
      <c r="C89" s="118">
        <v>7261</v>
      </c>
      <c r="D89" s="118">
        <f t="shared" si="1"/>
        <v>13221</v>
      </c>
    </row>
    <row r="90" spans="1:4" ht="18" customHeight="1">
      <c r="A90" s="117">
        <v>2007</v>
      </c>
      <c r="B90" s="118">
        <v>6281</v>
      </c>
      <c r="C90" s="118">
        <v>9161</v>
      </c>
      <c r="D90" s="118">
        <f t="shared" si="1"/>
        <v>15442</v>
      </c>
    </row>
    <row r="91" spans="1:4" ht="18" customHeight="1">
      <c r="A91" s="117">
        <v>2008</v>
      </c>
      <c r="B91" s="118">
        <v>6858</v>
      </c>
      <c r="C91" s="118">
        <v>10202</v>
      </c>
      <c r="D91" s="118">
        <f t="shared" si="1"/>
        <v>17060</v>
      </c>
    </row>
    <row r="92" spans="1:4" ht="18" customHeight="1">
      <c r="A92" s="117">
        <v>2009</v>
      </c>
      <c r="B92" s="118">
        <v>6960</v>
      </c>
      <c r="C92" s="118">
        <v>10010</v>
      </c>
      <c r="D92" s="118">
        <f t="shared" si="1"/>
        <v>16970</v>
      </c>
    </row>
    <row r="93" spans="1:4" ht="18" customHeight="1">
      <c r="A93" s="117">
        <v>2010</v>
      </c>
      <c r="B93" s="118">
        <v>7542</v>
      </c>
      <c r="C93" s="118">
        <v>11056</v>
      </c>
      <c r="D93" s="118">
        <f>B93+C93</f>
        <v>18598</v>
      </c>
    </row>
    <row r="94" spans="1:4" ht="18" customHeight="1">
      <c r="A94" s="117">
        <v>2011</v>
      </c>
      <c r="B94" s="118">
        <v>7587</v>
      </c>
      <c r="C94" s="118">
        <v>10485</v>
      </c>
      <c r="D94" s="118">
        <f aca="true" t="shared" si="2" ref="D94:D105">B94+C94</f>
        <v>18072</v>
      </c>
    </row>
    <row r="95" spans="1:4" ht="18" customHeight="1">
      <c r="A95" s="117">
        <v>2012</v>
      </c>
      <c r="B95" s="118">
        <v>8529</v>
      </c>
      <c r="C95" s="118">
        <v>11142</v>
      </c>
      <c r="D95" s="118">
        <f t="shared" si="2"/>
        <v>19671</v>
      </c>
    </row>
    <row r="96" spans="1:4" ht="18" customHeight="1">
      <c r="A96" s="117">
        <v>2013</v>
      </c>
      <c r="B96" s="118">
        <v>8760</v>
      </c>
      <c r="C96" s="118">
        <v>11612</v>
      </c>
      <c r="D96" s="118">
        <f t="shared" si="2"/>
        <v>20372</v>
      </c>
    </row>
    <row r="97" spans="1:4" ht="18" customHeight="1">
      <c r="A97" s="117">
        <v>2014</v>
      </c>
      <c r="B97" s="118">
        <v>9464</v>
      </c>
      <c r="C97" s="118">
        <v>12270</v>
      </c>
      <c r="D97" s="118">
        <f t="shared" si="2"/>
        <v>21734</v>
      </c>
    </row>
    <row r="98" spans="1:4" ht="18" customHeight="1">
      <c r="A98" s="117">
        <v>2015</v>
      </c>
      <c r="B98" s="118">
        <v>9902</v>
      </c>
      <c r="C98" s="118">
        <v>13110</v>
      </c>
      <c r="D98" s="118">
        <f t="shared" si="2"/>
        <v>23012</v>
      </c>
    </row>
    <row r="99" spans="1:4" s="369" customFormat="1" ht="18" customHeight="1">
      <c r="A99" s="367">
        <v>2016</v>
      </c>
      <c r="B99" s="368">
        <v>10627</v>
      </c>
      <c r="C99" s="368">
        <v>13778</v>
      </c>
      <c r="D99" s="368">
        <f>B99+C99</f>
        <v>24405</v>
      </c>
    </row>
    <row r="100" spans="1:4" s="369" customFormat="1" ht="18" customHeight="1">
      <c r="A100" s="367">
        <v>2017</v>
      </c>
      <c r="B100" s="368">
        <v>10037</v>
      </c>
      <c r="C100" s="368">
        <v>12729</v>
      </c>
      <c r="D100" s="368">
        <f>B100+C100</f>
        <v>22766</v>
      </c>
    </row>
    <row r="101" spans="1:4" s="561" customFormat="1" ht="18" customHeight="1">
      <c r="A101" s="367">
        <v>2018</v>
      </c>
      <c r="B101" s="368">
        <v>9910</v>
      </c>
      <c r="C101" s="368">
        <v>12746</v>
      </c>
      <c r="D101" s="368">
        <f t="shared" si="2"/>
        <v>22656</v>
      </c>
    </row>
    <row r="102" spans="1:4" s="561" customFormat="1" ht="18" customHeight="1">
      <c r="A102" s="367">
        <v>2019</v>
      </c>
      <c r="B102" s="368">
        <v>9986</v>
      </c>
      <c r="C102" s="368">
        <v>12717</v>
      </c>
      <c r="D102" s="368">
        <f>B102+C102</f>
        <v>22703</v>
      </c>
    </row>
    <row r="103" spans="1:4" s="561" customFormat="1" ht="18" customHeight="1">
      <c r="A103" s="367">
        <v>2020</v>
      </c>
      <c r="B103" s="368">
        <v>3385</v>
      </c>
      <c r="C103" s="368">
        <v>4553</v>
      </c>
      <c r="D103" s="368">
        <f>B103+C103</f>
        <v>7938</v>
      </c>
    </row>
    <row r="104" spans="1:4" s="561" customFormat="1" ht="18" customHeight="1">
      <c r="A104" s="367">
        <v>2021</v>
      </c>
      <c r="B104" s="368">
        <v>7970</v>
      </c>
      <c r="C104" s="368">
        <v>11808</v>
      </c>
      <c r="D104" s="368">
        <f>B104+C104</f>
        <v>19778</v>
      </c>
    </row>
    <row r="105" spans="1:4" s="787" customFormat="1" ht="18" customHeight="1">
      <c r="A105" s="785">
        <v>2022</v>
      </c>
      <c r="B105" s="786">
        <v>12860</v>
      </c>
      <c r="C105" s="786">
        <v>17970</v>
      </c>
      <c r="D105" s="786">
        <f t="shared" si="2"/>
        <v>30830</v>
      </c>
    </row>
    <row r="107" ht="14.25">
      <c r="A107" s="119" t="s">
        <v>461</v>
      </c>
    </row>
    <row r="109" spans="1:7" s="123" customFormat="1" ht="12" customHeight="1">
      <c r="A109" s="120" t="s">
        <v>745</v>
      </c>
      <c r="B109" s="120"/>
      <c r="C109" s="121"/>
      <c r="D109" s="121"/>
      <c r="E109" s="122"/>
      <c r="F109" s="122"/>
      <c r="G109" s="121"/>
    </row>
    <row r="110" spans="1:4" s="123" customFormat="1" ht="12.75">
      <c r="A110" s="120" t="s">
        <v>462</v>
      </c>
      <c r="B110" s="124"/>
      <c r="C110" s="124"/>
      <c r="D110" s="124"/>
    </row>
    <row r="111" spans="1:6" s="123" customFormat="1" ht="12" customHeight="1">
      <c r="A111" s="125" t="s">
        <v>463</v>
      </c>
      <c r="B111" s="121"/>
      <c r="C111" s="121"/>
      <c r="D111" s="121"/>
      <c r="E111" s="121"/>
      <c r="F111" s="121"/>
    </row>
    <row r="112" spans="1:6" s="123" customFormat="1" ht="12" customHeight="1">
      <c r="A112" s="125" t="s">
        <v>743</v>
      </c>
      <c r="B112" s="121"/>
      <c r="C112" s="121"/>
      <c r="D112" s="121"/>
      <c r="E112" s="121"/>
      <c r="F112" s="121"/>
    </row>
    <row r="113" ht="14.25">
      <c r="A113" s="125" t="s">
        <v>744</v>
      </c>
    </row>
  </sheetData>
  <sheetProtection/>
  <mergeCells count="4">
    <mergeCell ref="A1:D1"/>
    <mergeCell ref="A2:D2"/>
    <mergeCell ref="A3:D3"/>
    <mergeCell ref="A4:D4"/>
  </mergeCells>
  <printOptions horizontalCentered="1"/>
  <pageMargins left="0.7000000000000001" right="0.7000000000000001" top="0.7500000000000001" bottom="0.7500000000000001" header="0.30000000000000004" footer="0.30000000000000004"/>
  <pageSetup fitToHeight="2" fitToWidth="1" orientation="portrait" scale="72" r:id="rId1"/>
</worksheet>
</file>

<file path=xl/worksheets/sheet5.xml><?xml version="1.0" encoding="utf-8"?>
<worksheet xmlns="http://schemas.openxmlformats.org/spreadsheetml/2006/main" xmlns:r="http://schemas.openxmlformats.org/officeDocument/2006/relationships">
  <sheetPr>
    <tabColor rgb="FF660066"/>
    <pageSetUpPr fitToPage="1"/>
  </sheetPr>
  <dimension ref="A1:AA38"/>
  <sheetViews>
    <sheetView zoomScalePageLayoutView="0" workbookViewId="0" topLeftCell="A1">
      <pane xSplit="1" ySplit="7" topLeftCell="K8" activePane="bottomRight" state="frozen"/>
      <selection pane="topLeft" activeCell="A1" sqref="A1:H1"/>
      <selection pane="topRight" activeCell="A1" sqref="A1:H1"/>
      <selection pane="bottomLeft" activeCell="A1" sqref="A1:H1"/>
      <selection pane="bottomRight" activeCell="Y25" sqref="Y25"/>
    </sheetView>
  </sheetViews>
  <sheetFormatPr defaultColWidth="11.421875" defaultRowHeight="12.75"/>
  <cols>
    <col min="1" max="1" width="30.7109375" style="65" customWidth="1"/>
    <col min="2" max="2" width="10.8515625" style="65" customWidth="1"/>
    <col min="3" max="24" width="11.421875" style="65" customWidth="1"/>
    <col min="25" max="25" width="11.421875" style="753" customWidth="1"/>
    <col min="26" max="26" width="11.421875" style="419" customWidth="1"/>
    <col min="27" max="16384" width="11.421875" style="65" customWidth="1"/>
  </cols>
  <sheetData>
    <row r="1" spans="1:26" ht="12.75">
      <c r="A1" s="1115" t="s">
        <v>79</v>
      </c>
      <c r="B1" s="1115"/>
      <c r="C1" s="1115"/>
      <c r="D1" s="1115"/>
      <c r="E1" s="1115"/>
      <c r="F1" s="1115"/>
      <c r="G1" s="1115"/>
      <c r="H1" s="1115"/>
      <c r="I1" s="1115"/>
      <c r="J1" s="1115"/>
      <c r="K1" s="1115"/>
      <c r="L1" s="1115"/>
      <c r="M1" s="1115"/>
      <c r="N1" s="1115"/>
      <c r="O1" s="1115"/>
      <c r="P1" s="1115"/>
      <c r="Q1" s="1115"/>
      <c r="R1" s="1115"/>
      <c r="S1" s="1115"/>
      <c r="T1" s="1115"/>
      <c r="U1" s="1115"/>
      <c r="V1" s="1115"/>
      <c r="W1" s="1115"/>
      <c r="X1" s="1115"/>
      <c r="Y1" s="1115"/>
      <c r="Z1" s="736"/>
    </row>
    <row r="3" spans="1:26" s="392" customFormat="1" ht="18" customHeight="1">
      <c r="A3" s="1116" t="s">
        <v>3</v>
      </c>
      <c r="B3" s="1116"/>
      <c r="C3" s="1116"/>
      <c r="D3" s="1116"/>
      <c r="E3" s="1116"/>
      <c r="F3" s="1116"/>
      <c r="G3" s="1116"/>
      <c r="H3" s="1116"/>
      <c r="I3" s="1116"/>
      <c r="J3" s="1116"/>
      <c r="K3" s="1116"/>
      <c r="L3" s="1116"/>
      <c r="M3" s="1116"/>
      <c r="N3" s="1116"/>
      <c r="O3" s="1116"/>
      <c r="P3" s="1116"/>
      <c r="Q3" s="1116"/>
      <c r="R3" s="1116"/>
      <c r="S3" s="1116"/>
      <c r="T3" s="1116"/>
      <c r="U3" s="1116"/>
      <c r="V3" s="1116"/>
      <c r="W3" s="1116"/>
      <c r="X3" s="1116"/>
      <c r="Y3" s="1116"/>
      <c r="Z3" s="739"/>
    </row>
    <row r="4" spans="1:25" ht="18" customHeight="1">
      <c r="A4" s="1117" t="s">
        <v>778</v>
      </c>
      <c r="B4" s="1117"/>
      <c r="C4" s="1117"/>
      <c r="D4" s="1117"/>
      <c r="E4" s="1117"/>
      <c r="F4" s="1117"/>
      <c r="G4" s="1117"/>
      <c r="H4" s="1117"/>
      <c r="I4" s="1117"/>
      <c r="J4" s="1117"/>
      <c r="K4" s="1117"/>
      <c r="L4" s="1117"/>
      <c r="M4" s="1117"/>
      <c r="N4" s="1117"/>
      <c r="O4" s="1117"/>
      <c r="P4" s="1117"/>
      <c r="Q4" s="1117"/>
      <c r="R4" s="1117"/>
      <c r="S4" s="1117"/>
      <c r="T4" s="1117"/>
      <c r="U4" s="1117"/>
      <c r="V4" s="1117"/>
      <c r="W4" s="1117"/>
      <c r="X4" s="1117"/>
      <c r="Y4" s="1117"/>
    </row>
    <row r="5" spans="1:26" s="52" customFormat="1" ht="18" customHeight="1">
      <c r="A5" s="65"/>
      <c r="B5" s="417"/>
      <c r="C5" s="417"/>
      <c r="D5" s="417"/>
      <c r="E5" s="417"/>
      <c r="F5" s="417"/>
      <c r="G5" s="417"/>
      <c r="H5" s="417"/>
      <c r="I5" s="417"/>
      <c r="J5" s="417"/>
      <c r="K5" s="417"/>
      <c r="L5" s="417"/>
      <c r="M5" s="417"/>
      <c r="N5" s="417"/>
      <c r="O5" s="417"/>
      <c r="P5" s="417"/>
      <c r="Q5" s="417"/>
      <c r="R5" s="393"/>
      <c r="S5" s="393"/>
      <c r="T5" s="393"/>
      <c r="U5" s="393"/>
      <c r="V5" s="393"/>
      <c r="W5" s="393"/>
      <c r="X5" s="393"/>
      <c r="Y5" s="810"/>
      <c r="Z5" s="738"/>
    </row>
    <row r="6" spans="1:26" ht="18" customHeight="1">
      <c r="A6" s="394"/>
      <c r="B6" s="395" t="s">
        <v>40</v>
      </c>
      <c r="C6" s="395" t="s">
        <v>41</v>
      </c>
      <c r="D6" s="395" t="s">
        <v>42</v>
      </c>
      <c r="E6" s="395" t="s">
        <v>43</v>
      </c>
      <c r="F6" s="395" t="s">
        <v>44</v>
      </c>
      <c r="G6" s="395" t="s">
        <v>45</v>
      </c>
      <c r="H6" s="395" t="s">
        <v>46</v>
      </c>
      <c r="I6" s="395" t="s">
        <v>47</v>
      </c>
      <c r="J6" s="395" t="s">
        <v>48</v>
      </c>
      <c r="K6" s="395" t="s">
        <v>49</v>
      </c>
      <c r="L6" s="395" t="s">
        <v>50</v>
      </c>
      <c r="M6" s="395" t="s">
        <v>51</v>
      </c>
      <c r="N6" s="395" t="s">
        <v>52</v>
      </c>
      <c r="O6" s="395" t="s">
        <v>53</v>
      </c>
      <c r="P6" s="395" t="s">
        <v>54</v>
      </c>
      <c r="Q6" s="395" t="s">
        <v>55</v>
      </c>
      <c r="R6" s="395" t="s">
        <v>513</v>
      </c>
      <c r="S6" s="395" t="s">
        <v>542</v>
      </c>
      <c r="T6" s="395" t="s">
        <v>562</v>
      </c>
      <c r="U6" s="395" t="s">
        <v>651</v>
      </c>
      <c r="V6" s="395" t="s">
        <v>663</v>
      </c>
      <c r="W6" s="395" t="s">
        <v>690</v>
      </c>
      <c r="X6" s="395" t="s">
        <v>733</v>
      </c>
      <c r="Y6" s="811" t="s">
        <v>784</v>
      </c>
      <c r="Z6" s="415"/>
    </row>
    <row r="7" spans="1:26" ht="18" customHeight="1">
      <c r="A7" s="396" t="s">
        <v>68</v>
      </c>
      <c r="B7" s="397">
        <f>SUM(B8,B11,B12)</f>
        <v>17270</v>
      </c>
      <c r="C7" s="397">
        <f aca="true" t="shared" si="0" ref="C7:J7">SUM(C8,C11,C12)</f>
        <v>16547</v>
      </c>
      <c r="D7" s="397">
        <f t="shared" si="0"/>
        <v>17910</v>
      </c>
      <c r="E7" s="397">
        <f t="shared" si="0"/>
        <v>18530</v>
      </c>
      <c r="F7" s="397">
        <f t="shared" si="0"/>
        <v>18987</v>
      </c>
      <c r="G7" s="397">
        <f t="shared" si="0"/>
        <v>19765</v>
      </c>
      <c r="H7" s="397">
        <f t="shared" si="0"/>
        <v>20747</v>
      </c>
      <c r="I7" s="397">
        <f t="shared" si="0"/>
        <v>21230</v>
      </c>
      <c r="J7" s="397">
        <f t="shared" si="0"/>
        <v>22527</v>
      </c>
      <c r="K7" s="397">
        <f>SUM(K8,K11,K12)</f>
        <v>23875</v>
      </c>
      <c r="L7" s="397">
        <f>SUM(L8,L11,L12)</f>
        <v>25036</v>
      </c>
      <c r="M7" s="397">
        <f aca="true" t="shared" si="1" ref="M7:Y7">SUM(M13,M19)</f>
        <v>25167</v>
      </c>
      <c r="N7" s="397">
        <f t="shared" si="1"/>
        <v>26169</v>
      </c>
      <c r="O7" s="397">
        <f t="shared" si="1"/>
        <v>26878</v>
      </c>
      <c r="P7" s="397">
        <f t="shared" si="1"/>
        <v>27210</v>
      </c>
      <c r="Q7" s="397">
        <f t="shared" si="1"/>
        <v>28018</v>
      </c>
      <c r="R7" s="397">
        <f t="shared" si="1"/>
        <v>28638</v>
      </c>
      <c r="S7" s="397">
        <f t="shared" si="1"/>
        <v>30363</v>
      </c>
      <c r="T7" s="397">
        <f>SUM(T13,T19)</f>
        <v>30310</v>
      </c>
      <c r="U7" s="397">
        <f>SUM(U13,U19)</f>
        <v>30089</v>
      </c>
      <c r="V7" s="397">
        <f>SUM(V13,V19)</f>
        <v>30634</v>
      </c>
      <c r="W7" s="397">
        <f>SUM(W13,W19)</f>
        <v>30792</v>
      </c>
      <c r="X7" s="397">
        <f>SUM(X13,X19)</f>
        <v>33076</v>
      </c>
      <c r="Y7" s="817">
        <f t="shared" si="1"/>
        <v>32550</v>
      </c>
      <c r="Z7" s="415"/>
    </row>
    <row r="8" spans="1:26" ht="18" customHeight="1">
      <c r="A8" s="400" t="s">
        <v>80</v>
      </c>
      <c r="B8" s="401">
        <v>7787</v>
      </c>
      <c r="C8" s="401">
        <v>8024</v>
      </c>
      <c r="D8" s="401">
        <v>8499</v>
      </c>
      <c r="E8" s="401">
        <v>8793</v>
      </c>
      <c r="F8" s="401">
        <v>9085</v>
      </c>
      <c r="G8" s="401">
        <v>9604</v>
      </c>
      <c r="H8" s="401">
        <v>10016</v>
      </c>
      <c r="I8" s="401">
        <v>10302</v>
      </c>
      <c r="J8" s="401">
        <v>10712</v>
      </c>
      <c r="K8" s="401">
        <v>11437</v>
      </c>
      <c r="L8" s="401">
        <f>SUM(L9:L10)</f>
        <v>11549</v>
      </c>
      <c r="M8" s="401">
        <f>SUM(M9:M10)</f>
        <v>11124</v>
      </c>
      <c r="N8" s="401">
        <f>SUM(N9:N10)</f>
        <v>12205</v>
      </c>
      <c r="O8" s="401">
        <f aca="true" t="shared" si="2" ref="O8:Y8">SUM(O9,O10)</f>
        <v>12468</v>
      </c>
      <c r="P8" s="401">
        <f t="shared" si="2"/>
        <v>12777</v>
      </c>
      <c r="Q8" s="401">
        <f t="shared" si="2"/>
        <v>13321</v>
      </c>
      <c r="R8" s="401">
        <f t="shared" si="2"/>
        <v>13883</v>
      </c>
      <c r="S8" s="401">
        <f t="shared" si="2"/>
        <v>14372</v>
      </c>
      <c r="T8" s="401">
        <f t="shared" si="2"/>
        <v>14594</v>
      </c>
      <c r="U8" s="401">
        <f t="shared" si="2"/>
        <v>15096</v>
      </c>
      <c r="V8" s="401">
        <f t="shared" si="2"/>
        <v>16998</v>
      </c>
      <c r="W8" s="401">
        <f>SUM(W9,W10)</f>
        <v>16368</v>
      </c>
      <c r="X8" s="401">
        <f>SUM(X9,X10)</f>
        <v>19194</v>
      </c>
      <c r="Y8" s="823">
        <f t="shared" si="2"/>
        <v>19608</v>
      </c>
      <c r="Z8" s="415"/>
    </row>
    <row r="9" spans="1:26" ht="18" customHeight="1">
      <c r="A9" s="402" t="s">
        <v>81</v>
      </c>
      <c r="B9" s="401">
        <f>+B15+B21</f>
        <v>6757</v>
      </c>
      <c r="C9" s="401">
        <f aca="true" t="shared" si="3" ref="C9:J10">+C15+C21</f>
        <v>6741</v>
      </c>
      <c r="D9" s="401">
        <f t="shared" si="3"/>
        <v>6741</v>
      </c>
      <c r="E9" s="401">
        <f t="shared" si="3"/>
        <v>6993</v>
      </c>
      <c r="F9" s="401">
        <f t="shared" si="3"/>
        <v>7201</v>
      </c>
      <c r="G9" s="401">
        <f t="shared" si="3"/>
        <v>7699</v>
      </c>
      <c r="H9" s="401">
        <f t="shared" si="3"/>
        <v>7660</v>
      </c>
      <c r="I9" s="401">
        <f t="shared" si="3"/>
        <v>7854</v>
      </c>
      <c r="J9" s="401">
        <f t="shared" si="3"/>
        <v>8016</v>
      </c>
      <c r="K9" s="401">
        <f>+K15+K21</f>
        <v>8540</v>
      </c>
      <c r="L9" s="401">
        <v>8693</v>
      </c>
      <c r="M9" s="401">
        <v>8271</v>
      </c>
      <c r="N9" s="401">
        <f>+N15+N21</f>
        <v>8547</v>
      </c>
      <c r="O9" s="401">
        <v>8599</v>
      </c>
      <c r="P9" s="401">
        <f aca="true" t="shared" si="4" ref="P9:S12">+P15+P21</f>
        <v>9506</v>
      </c>
      <c r="Q9" s="401">
        <f t="shared" si="4"/>
        <v>9995</v>
      </c>
      <c r="R9" s="401">
        <f t="shared" si="4"/>
        <v>10380</v>
      </c>
      <c r="S9" s="401">
        <f t="shared" si="4"/>
        <v>10701</v>
      </c>
      <c r="T9" s="401">
        <f aca="true" t="shared" si="5" ref="T9:Y12">+T15+T21</f>
        <v>11093</v>
      </c>
      <c r="U9" s="401">
        <f t="shared" si="5"/>
        <v>11366</v>
      </c>
      <c r="V9" s="401">
        <f>+V15+V21</f>
        <v>11952</v>
      </c>
      <c r="W9" s="401">
        <f>+W15+W21</f>
        <v>11073</v>
      </c>
      <c r="X9" s="401">
        <f>+X15+X21</f>
        <v>13541</v>
      </c>
      <c r="Y9" s="823">
        <f t="shared" si="5"/>
        <v>13550</v>
      </c>
      <c r="Z9" s="415"/>
    </row>
    <row r="10" spans="1:26" ht="18" customHeight="1">
      <c r="A10" s="402" t="s">
        <v>82</v>
      </c>
      <c r="B10" s="401">
        <f>+B16+B22</f>
        <v>1030</v>
      </c>
      <c r="C10" s="401">
        <f t="shared" si="3"/>
        <v>1283</v>
      </c>
      <c r="D10" s="401">
        <f t="shared" si="3"/>
        <v>1758</v>
      </c>
      <c r="E10" s="401">
        <f t="shared" si="3"/>
        <v>1800</v>
      </c>
      <c r="F10" s="401">
        <f t="shared" si="3"/>
        <v>1884</v>
      </c>
      <c r="G10" s="401">
        <f t="shared" si="3"/>
        <v>1905</v>
      </c>
      <c r="H10" s="401">
        <f t="shared" si="3"/>
        <v>2356</v>
      </c>
      <c r="I10" s="401">
        <f t="shared" si="3"/>
        <v>2448</v>
      </c>
      <c r="J10" s="401">
        <f t="shared" si="3"/>
        <v>2696</v>
      </c>
      <c r="K10" s="401">
        <f>+K16+K22</f>
        <v>2897</v>
      </c>
      <c r="L10" s="401">
        <v>2856</v>
      </c>
      <c r="M10" s="401">
        <v>2853</v>
      </c>
      <c r="N10" s="401">
        <f>+N16+N22</f>
        <v>3658</v>
      </c>
      <c r="O10" s="401">
        <v>3869</v>
      </c>
      <c r="P10" s="401">
        <f t="shared" si="4"/>
        <v>3271</v>
      </c>
      <c r="Q10" s="401">
        <f t="shared" si="4"/>
        <v>3326</v>
      </c>
      <c r="R10" s="401">
        <f t="shared" si="4"/>
        <v>3503</v>
      </c>
      <c r="S10" s="401">
        <f t="shared" si="4"/>
        <v>3671</v>
      </c>
      <c r="T10" s="401">
        <f t="shared" si="5"/>
        <v>3501</v>
      </c>
      <c r="U10" s="401">
        <f t="shared" si="5"/>
        <v>3730</v>
      </c>
      <c r="V10" s="401">
        <f>+V16+V22</f>
        <v>5046</v>
      </c>
      <c r="W10" s="401">
        <f>+W16+W22</f>
        <v>5295</v>
      </c>
      <c r="X10" s="401">
        <f>+X16+X22</f>
        <v>5653</v>
      </c>
      <c r="Y10" s="823">
        <f t="shared" si="5"/>
        <v>6058</v>
      </c>
      <c r="Z10" s="415"/>
    </row>
    <row r="11" spans="1:27" ht="18" customHeight="1">
      <c r="A11" s="400" t="s">
        <v>83</v>
      </c>
      <c r="B11" s="401">
        <f>B17+B23</f>
        <v>6503</v>
      </c>
      <c r="C11" s="401">
        <f aca="true" t="shared" si="6" ref="C11:M12">C17+C23</f>
        <v>5868</v>
      </c>
      <c r="D11" s="401">
        <f t="shared" si="6"/>
        <v>6529</v>
      </c>
      <c r="E11" s="401">
        <f t="shared" si="6"/>
        <v>6803</v>
      </c>
      <c r="F11" s="401">
        <f t="shared" si="6"/>
        <v>6806</v>
      </c>
      <c r="G11" s="401">
        <f t="shared" si="6"/>
        <v>6913</v>
      </c>
      <c r="H11" s="401">
        <f t="shared" si="6"/>
        <v>7283</v>
      </c>
      <c r="I11" s="401">
        <f t="shared" si="6"/>
        <v>7317</v>
      </c>
      <c r="J11" s="401">
        <f t="shared" si="6"/>
        <v>7912</v>
      </c>
      <c r="K11" s="401">
        <f t="shared" si="6"/>
        <v>8211</v>
      </c>
      <c r="L11" s="401">
        <f t="shared" si="6"/>
        <v>8947</v>
      </c>
      <c r="M11" s="401">
        <f t="shared" si="6"/>
        <v>9376</v>
      </c>
      <c r="N11" s="401">
        <f>N17+N23</f>
        <v>9092</v>
      </c>
      <c r="O11" s="401">
        <v>9385</v>
      </c>
      <c r="P11" s="401">
        <f t="shared" si="4"/>
        <v>9175</v>
      </c>
      <c r="Q11" s="401">
        <f t="shared" si="4"/>
        <v>9281</v>
      </c>
      <c r="R11" s="401">
        <f t="shared" si="4"/>
        <v>9361</v>
      </c>
      <c r="S11" s="401">
        <f t="shared" si="4"/>
        <v>10530</v>
      </c>
      <c r="T11" s="401">
        <f t="shared" si="5"/>
        <v>10297</v>
      </c>
      <c r="U11" s="401">
        <f t="shared" si="5"/>
        <v>9680</v>
      </c>
      <c r="V11" s="401">
        <f>+V17+V23</f>
        <v>8376</v>
      </c>
      <c r="W11" s="401">
        <f>+W17+W23</f>
        <v>9086</v>
      </c>
      <c r="X11" s="401">
        <f>+X17+X23</f>
        <v>8753</v>
      </c>
      <c r="Y11" s="823">
        <f t="shared" si="5"/>
        <v>8028</v>
      </c>
      <c r="Z11" s="415"/>
      <c r="AA11" s="418"/>
    </row>
    <row r="12" spans="1:26" ht="18" customHeight="1">
      <c r="A12" s="400" t="s">
        <v>84</v>
      </c>
      <c r="B12" s="401">
        <f>B18+B24</f>
        <v>2980</v>
      </c>
      <c r="C12" s="401">
        <f t="shared" si="6"/>
        <v>2655</v>
      </c>
      <c r="D12" s="401">
        <f t="shared" si="6"/>
        <v>2882</v>
      </c>
      <c r="E12" s="401">
        <f t="shared" si="6"/>
        <v>2934</v>
      </c>
      <c r="F12" s="401">
        <f t="shared" si="6"/>
        <v>3096</v>
      </c>
      <c r="G12" s="401">
        <f t="shared" si="6"/>
        <v>3248</v>
      </c>
      <c r="H12" s="401">
        <f t="shared" si="6"/>
        <v>3448</v>
      </c>
      <c r="I12" s="401">
        <f t="shared" si="6"/>
        <v>3611</v>
      </c>
      <c r="J12" s="401">
        <f t="shared" si="6"/>
        <v>3903</v>
      </c>
      <c r="K12" s="401">
        <f t="shared" si="6"/>
        <v>4227</v>
      </c>
      <c r="L12" s="401">
        <f t="shared" si="6"/>
        <v>4540</v>
      </c>
      <c r="M12" s="401">
        <f t="shared" si="6"/>
        <v>4667</v>
      </c>
      <c r="N12" s="401">
        <f>N18+N24</f>
        <v>4872</v>
      </c>
      <c r="O12" s="401">
        <v>5025</v>
      </c>
      <c r="P12" s="401">
        <f t="shared" si="4"/>
        <v>5258</v>
      </c>
      <c r="Q12" s="401">
        <f t="shared" si="4"/>
        <v>5416</v>
      </c>
      <c r="R12" s="401">
        <f t="shared" si="4"/>
        <v>5394</v>
      </c>
      <c r="S12" s="401">
        <f t="shared" si="4"/>
        <v>5461</v>
      </c>
      <c r="T12" s="401">
        <f t="shared" si="5"/>
        <v>5419</v>
      </c>
      <c r="U12" s="401">
        <f t="shared" si="5"/>
        <v>5313</v>
      </c>
      <c r="V12" s="401">
        <f>+V18+V24</f>
        <v>5260</v>
      </c>
      <c r="W12" s="401">
        <f>+W18+W24</f>
        <v>5338</v>
      </c>
      <c r="X12" s="401">
        <f>+X18+X24</f>
        <v>5129</v>
      </c>
      <c r="Y12" s="823">
        <f t="shared" si="5"/>
        <v>4914</v>
      </c>
      <c r="Z12" s="415"/>
    </row>
    <row r="13" spans="1:27" ht="18" customHeight="1">
      <c r="A13" s="396" t="s">
        <v>75</v>
      </c>
      <c r="B13" s="397">
        <f>SUM(B14,B17,B18)</f>
        <v>5933</v>
      </c>
      <c r="C13" s="397">
        <f aca="true" t="shared" si="7" ref="C13:Y13">SUM(C14,C17,C18)</f>
        <v>5980</v>
      </c>
      <c r="D13" s="397">
        <f t="shared" si="7"/>
        <v>6776</v>
      </c>
      <c r="E13" s="397">
        <f t="shared" si="7"/>
        <v>6974</v>
      </c>
      <c r="F13" s="397">
        <f t="shared" si="7"/>
        <v>6936</v>
      </c>
      <c r="G13" s="397">
        <f t="shared" si="7"/>
        <v>7563</v>
      </c>
      <c r="H13" s="397">
        <f t="shared" si="7"/>
        <v>7873</v>
      </c>
      <c r="I13" s="397">
        <f t="shared" si="7"/>
        <v>8258</v>
      </c>
      <c r="J13" s="397">
        <f t="shared" si="7"/>
        <v>9395</v>
      </c>
      <c r="K13" s="397">
        <f t="shared" si="7"/>
        <v>9246</v>
      </c>
      <c r="L13" s="397">
        <f t="shared" si="7"/>
        <v>10197</v>
      </c>
      <c r="M13" s="397">
        <f t="shared" si="7"/>
        <v>9641</v>
      </c>
      <c r="N13" s="397">
        <f t="shared" si="7"/>
        <v>11032</v>
      </c>
      <c r="O13" s="397">
        <f t="shared" si="7"/>
        <v>10721</v>
      </c>
      <c r="P13" s="397">
        <f t="shared" si="7"/>
        <v>10738</v>
      </c>
      <c r="Q13" s="397">
        <f t="shared" si="7"/>
        <v>11486</v>
      </c>
      <c r="R13" s="397">
        <f t="shared" si="7"/>
        <v>11331</v>
      </c>
      <c r="S13" s="397">
        <f t="shared" si="7"/>
        <v>12478</v>
      </c>
      <c r="T13" s="397">
        <f>SUM(T14,T17,T18)</f>
        <v>11684</v>
      </c>
      <c r="U13" s="397">
        <f>SUM(U14,U17,U18)</f>
        <v>11402</v>
      </c>
      <c r="V13" s="397">
        <f>SUM(V14,V17,V18)</f>
        <v>12062</v>
      </c>
      <c r="W13" s="397">
        <f>SUM(W14,W17,W18)</f>
        <v>12368</v>
      </c>
      <c r="X13" s="397">
        <f>SUM(X14,X17,X18)</f>
        <v>13045</v>
      </c>
      <c r="Y13" s="817">
        <f t="shared" si="7"/>
        <v>12513</v>
      </c>
      <c r="Z13" s="415"/>
      <c r="AA13" s="418"/>
    </row>
    <row r="14" spans="1:25" ht="18" customHeight="1">
      <c r="A14" s="400" t="s">
        <v>80</v>
      </c>
      <c r="B14" s="401">
        <f>B15+B16</f>
        <v>2814</v>
      </c>
      <c r="C14" s="401">
        <f aca="true" t="shared" si="8" ref="C14:Y14">C15+C16</f>
        <v>2711</v>
      </c>
      <c r="D14" s="401">
        <f t="shared" si="8"/>
        <v>2982</v>
      </c>
      <c r="E14" s="401">
        <f t="shared" si="8"/>
        <v>3400</v>
      </c>
      <c r="F14" s="401">
        <f t="shared" si="8"/>
        <v>3142</v>
      </c>
      <c r="G14" s="401">
        <f t="shared" si="8"/>
        <v>3500</v>
      </c>
      <c r="H14" s="401">
        <f t="shared" si="8"/>
        <v>3769</v>
      </c>
      <c r="I14" s="401">
        <f t="shared" si="8"/>
        <v>4002</v>
      </c>
      <c r="J14" s="401">
        <f t="shared" si="8"/>
        <v>4752</v>
      </c>
      <c r="K14" s="401">
        <f t="shared" si="8"/>
        <v>4467</v>
      </c>
      <c r="L14" s="401">
        <f t="shared" si="8"/>
        <v>4939</v>
      </c>
      <c r="M14" s="401">
        <f t="shared" si="8"/>
        <v>4368</v>
      </c>
      <c r="N14" s="401">
        <f t="shared" si="8"/>
        <v>5677</v>
      </c>
      <c r="O14" s="401">
        <f t="shared" si="8"/>
        <v>5325</v>
      </c>
      <c r="P14" s="401">
        <f t="shared" si="8"/>
        <v>5264</v>
      </c>
      <c r="Q14" s="401">
        <f t="shared" si="8"/>
        <v>5604</v>
      </c>
      <c r="R14" s="401">
        <f t="shared" si="8"/>
        <v>5828</v>
      </c>
      <c r="S14" s="401">
        <f t="shared" si="8"/>
        <v>6070</v>
      </c>
      <c r="T14" s="401">
        <f t="shared" si="8"/>
        <v>6198</v>
      </c>
      <c r="U14" s="401">
        <f t="shared" si="8"/>
        <v>6454</v>
      </c>
      <c r="V14" s="401">
        <f>V15+V16</f>
        <v>7402</v>
      </c>
      <c r="W14" s="401">
        <f>W15+W16</f>
        <v>6920</v>
      </c>
      <c r="X14" s="401">
        <f>X15+X16</f>
        <v>8567</v>
      </c>
      <c r="Y14" s="823">
        <f t="shared" si="8"/>
        <v>8080</v>
      </c>
    </row>
    <row r="15" spans="1:25" ht="18" customHeight="1">
      <c r="A15" s="402" t="s">
        <v>81</v>
      </c>
      <c r="B15" s="401">
        <v>2239</v>
      </c>
      <c r="C15" s="401">
        <v>1821</v>
      </c>
      <c r="D15" s="401">
        <v>1821</v>
      </c>
      <c r="E15" s="401">
        <v>2414</v>
      </c>
      <c r="F15" s="401">
        <v>2049</v>
      </c>
      <c r="G15" s="401">
        <v>2358</v>
      </c>
      <c r="H15" s="401">
        <v>2217</v>
      </c>
      <c r="I15" s="401">
        <v>2478</v>
      </c>
      <c r="J15" s="401">
        <v>2996</v>
      </c>
      <c r="K15" s="401">
        <v>2757</v>
      </c>
      <c r="L15" s="401">
        <v>3114</v>
      </c>
      <c r="M15" s="401">
        <v>2991</v>
      </c>
      <c r="N15" s="401">
        <v>3199</v>
      </c>
      <c r="O15" s="401">
        <v>3165</v>
      </c>
      <c r="P15" s="401">
        <v>3351</v>
      </c>
      <c r="Q15" s="401">
        <v>3533</v>
      </c>
      <c r="R15" s="401">
        <v>3688</v>
      </c>
      <c r="S15" s="401">
        <v>3795</v>
      </c>
      <c r="T15" s="401">
        <v>3910</v>
      </c>
      <c r="U15" s="401">
        <v>3988</v>
      </c>
      <c r="V15" s="401">
        <v>4012</v>
      </c>
      <c r="W15" s="401">
        <v>3600</v>
      </c>
      <c r="X15" s="401">
        <v>5338</v>
      </c>
      <c r="Y15" s="823">
        <v>4565</v>
      </c>
    </row>
    <row r="16" spans="1:25" ht="18" customHeight="1">
      <c r="A16" s="402" t="s">
        <v>82</v>
      </c>
      <c r="B16" s="401">
        <v>575</v>
      </c>
      <c r="C16" s="401">
        <v>890</v>
      </c>
      <c r="D16" s="401">
        <v>1161</v>
      </c>
      <c r="E16" s="401">
        <v>986</v>
      </c>
      <c r="F16" s="401">
        <v>1093</v>
      </c>
      <c r="G16" s="401">
        <v>1142</v>
      </c>
      <c r="H16" s="401">
        <v>1552</v>
      </c>
      <c r="I16" s="401">
        <v>1524</v>
      </c>
      <c r="J16" s="401">
        <v>1756</v>
      </c>
      <c r="K16" s="401">
        <v>1710</v>
      </c>
      <c r="L16" s="401">
        <v>1825</v>
      </c>
      <c r="M16" s="401">
        <v>1377</v>
      </c>
      <c r="N16" s="401">
        <v>2478</v>
      </c>
      <c r="O16" s="401">
        <v>2160</v>
      </c>
      <c r="P16" s="401">
        <v>1913</v>
      </c>
      <c r="Q16" s="401">
        <v>2071</v>
      </c>
      <c r="R16" s="401">
        <v>2140</v>
      </c>
      <c r="S16" s="401">
        <v>2275</v>
      </c>
      <c r="T16" s="401">
        <v>2288</v>
      </c>
      <c r="U16" s="401">
        <v>2466</v>
      </c>
      <c r="V16" s="401">
        <v>3390</v>
      </c>
      <c r="W16" s="401">
        <v>3320</v>
      </c>
      <c r="X16" s="401">
        <v>3229</v>
      </c>
      <c r="Y16" s="823">
        <v>3515</v>
      </c>
    </row>
    <row r="17" spans="1:27" ht="18" customHeight="1">
      <c r="A17" s="400" t="s">
        <v>83</v>
      </c>
      <c r="B17" s="401">
        <v>2341</v>
      </c>
      <c r="C17" s="401">
        <v>2524</v>
      </c>
      <c r="D17" s="401">
        <v>3015</v>
      </c>
      <c r="E17" s="401">
        <v>2799</v>
      </c>
      <c r="F17" s="401">
        <v>2912</v>
      </c>
      <c r="G17" s="401">
        <v>3076</v>
      </c>
      <c r="H17" s="401">
        <v>3133</v>
      </c>
      <c r="I17" s="401">
        <v>3226</v>
      </c>
      <c r="J17" s="401">
        <v>3529</v>
      </c>
      <c r="K17" s="401">
        <v>3630</v>
      </c>
      <c r="L17" s="401">
        <v>4023</v>
      </c>
      <c r="M17" s="401">
        <v>4156</v>
      </c>
      <c r="N17" s="401">
        <v>3986</v>
      </c>
      <c r="O17" s="401">
        <v>4056</v>
      </c>
      <c r="P17" s="401">
        <v>4071</v>
      </c>
      <c r="Q17" s="401">
        <v>4194</v>
      </c>
      <c r="R17" s="401">
        <v>4263</v>
      </c>
      <c r="S17" s="401">
        <v>5082</v>
      </c>
      <c r="T17" s="401">
        <v>4218</v>
      </c>
      <c r="U17" s="401">
        <v>3828</v>
      </c>
      <c r="V17" s="401">
        <v>3454</v>
      </c>
      <c r="W17" s="401">
        <v>4129</v>
      </c>
      <c r="X17" s="401">
        <v>3423</v>
      </c>
      <c r="Y17" s="823">
        <v>3390</v>
      </c>
      <c r="Z17" s="415"/>
      <c r="AA17" s="418"/>
    </row>
    <row r="18" spans="1:27" ht="18" customHeight="1">
      <c r="A18" s="400" t="s">
        <v>84</v>
      </c>
      <c r="B18" s="401">
        <v>778</v>
      </c>
      <c r="C18" s="401">
        <v>745</v>
      </c>
      <c r="D18" s="401">
        <v>779</v>
      </c>
      <c r="E18" s="401">
        <v>775</v>
      </c>
      <c r="F18" s="401">
        <v>882</v>
      </c>
      <c r="G18" s="401">
        <v>987</v>
      </c>
      <c r="H18" s="401">
        <v>971</v>
      </c>
      <c r="I18" s="401">
        <v>1030</v>
      </c>
      <c r="J18" s="401">
        <v>1114</v>
      </c>
      <c r="K18" s="401">
        <v>1149</v>
      </c>
      <c r="L18" s="401">
        <v>1235</v>
      </c>
      <c r="M18" s="401">
        <v>1117</v>
      </c>
      <c r="N18" s="401">
        <v>1369</v>
      </c>
      <c r="O18" s="401">
        <v>1340</v>
      </c>
      <c r="P18" s="401">
        <v>1403</v>
      </c>
      <c r="Q18" s="401">
        <v>1688</v>
      </c>
      <c r="R18" s="401">
        <v>1240</v>
      </c>
      <c r="S18" s="401">
        <v>1326</v>
      </c>
      <c r="T18" s="401">
        <v>1268</v>
      </c>
      <c r="U18" s="401">
        <v>1120</v>
      </c>
      <c r="V18" s="401">
        <v>1206</v>
      </c>
      <c r="W18" s="401">
        <v>1319</v>
      </c>
      <c r="X18" s="401">
        <v>1055</v>
      </c>
      <c r="Y18" s="823">
        <v>1043</v>
      </c>
      <c r="Z18" s="415"/>
      <c r="AA18" s="418"/>
    </row>
    <row r="19" spans="1:27" ht="18" customHeight="1">
      <c r="A19" s="396" t="s">
        <v>76</v>
      </c>
      <c r="B19" s="397">
        <f aca="true" t="shared" si="9" ref="B19:Y19">SUM(B20,B23,B24)</f>
        <v>11337</v>
      </c>
      <c r="C19" s="397">
        <f t="shared" si="9"/>
        <v>10567</v>
      </c>
      <c r="D19" s="397">
        <f t="shared" si="9"/>
        <v>11134</v>
      </c>
      <c r="E19" s="397">
        <f t="shared" si="9"/>
        <v>11556</v>
      </c>
      <c r="F19" s="397">
        <f t="shared" si="9"/>
        <v>12051</v>
      </c>
      <c r="G19" s="397">
        <f t="shared" si="9"/>
        <v>12202</v>
      </c>
      <c r="H19" s="397">
        <f t="shared" si="9"/>
        <v>12874</v>
      </c>
      <c r="I19" s="397">
        <f t="shared" si="9"/>
        <v>12972</v>
      </c>
      <c r="J19" s="397">
        <f t="shared" si="9"/>
        <v>13132</v>
      </c>
      <c r="K19" s="397">
        <f t="shared" si="9"/>
        <v>14629</v>
      </c>
      <c r="L19" s="397">
        <f t="shared" si="9"/>
        <v>14839</v>
      </c>
      <c r="M19" s="397">
        <f t="shared" si="9"/>
        <v>15526</v>
      </c>
      <c r="N19" s="397">
        <f t="shared" si="9"/>
        <v>15137</v>
      </c>
      <c r="O19" s="397">
        <f t="shared" si="9"/>
        <v>16157</v>
      </c>
      <c r="P19" s="397">
        <f t="shared" si="9"/>
        <v>16472</v>
      </c>
      <c r="Q19" s="397">
        <f t="shared" si="9"/>
        <v>16532</v>
      </c>
      <c r="R19" s="397">
        <f t="shared" si="9"/>
        <v>17307</v>
      </c>
      <c r="S19" s="397">
        <f t="shared" si="9"/>
        <v>17885</v>
      </c>
      <c r="T19" s="397">
        <f>SUM(T20,T23,T24)</f>
        <v>18626</v>
      </c>
      <c r="U19" s="397">
        <f>SUM(U20,U23,U24)</f>
        <v>18687</v>
      </c>
      <c r="V19" s="397">
        <f>SUM(V20,V23,V24)</f>
        <v>18572</v>
      </c>
      <c r="W19" s="397">
        <f>SUM(W20,W23,W24)</f>
        <v>18424</v>
      </c>
      <c r="X19" s="397">
        <f>SUM(X20,X23,X24)</f>
        <v>20031</v>
      </c>
      <c r="Y19" s="817">
        <f t="shared" si="9"/>
        <v>20037</v>
      </c>
      <c r="Z19" s="415"/>
      <c r="AA19" s="418"/>
    </row>
    <row r="20" spans="1:25" ht="18" customHeight="1">
      <c r="A20" s="400" t="s">
        <v>80</v>
      </c>
      <c r="B20" s="401">
        <f>B21+B22</f>
        <v>4973</v>
      </c>
      <c r="C20" s="401">
        <f aca="true" t="shared" si="10" ref="C20:Y20">C21+C22</f>
        <v>5313</v>
      </c>
      <c r="D20" s="401">
        <f t="shared" si="10"/>
        <v>5517</v>
      </c>
      <c r="E20" s="401">
        <f t="shared" si="10"/>
        <v>5393</v>
      </c>
      <c r="F20" s="401">
        <f t="shared" si="10"/>
        <v>5943</v>
      </c>
      <c r="G20" s="401">
        <f t="shared" si="10"/>
        <v>6104</v>
      </c>
      <c r="H20" s="401">
        <f t="shared" si="10"/>
        <v>6247</v>
      </c>
      <c r="I20" s="401">
        <f t="shared" si="10"/>
        <v>6300</v>
      </c>
      <c r="J20" s="401">
        <f t="shared" si="10"/>
        <v>5960</v>
      </c>
      <c r="K20" s="401">
        <f t="shared" si="10"/>
        <v>6970</v>
      </c>
      <c r="L20" s="401">
        <f t="shared" si="10"/>
        <v>6610</v>
      </c>
      <c r="M20" s="401">
        <f t="shared" si="10"/>
        <v>6756</v>
      </c>
      <c r="N20" s="401">
        <f t="shared" si="10"/>
        <v>6528</v>
      </c>
      <c r="O20" s="401">
        <f t="shared" si="10"/>
        <v>7143</v>
      </c>
      <c r="P20" s="401">
        <f t="shared" si="10"/>
        <v>7513</v>
      </c>
      <c r="Q20" s="401">
        <f t="shared" si="10"/>
        <v>7717</v>
      </c>
      <c r="R20" s="401">
        <f t="shared" si="10"/>
        <v>8055</v>
      </c>
      <c r="S20" s="401">
        <f t="shared" si="10"/>
        <v>8302</v>
      </c>
      <c r="T20" s="401">
        <f t="shared" si="10"/>
        <v>8396</v>
      </c>
      <c r="U20" s="401">
        <f t="shared" si="10"/>
        <v>8642</v>
      </c>
      <c r="V20" s="401">
        <f>V21+V22</f>
        <v>9596</v>
      </c>
      <c r="W20" s="401">
        <f>W21+W22</f>
        <v>9448</v>
      </c>
      <c r="X20" s="401">
        <f>X21+X22</f>
        <v>10627</v>
      </c>
      <c r="Y20" s="823">
        <f t="shared" si="10"/>
        <v>11528</v>
      </c>
    </row>
    <row r="21" spans="1:25" ht="18" customHeight="1">
      <c r="A21" s="402" t="s">
        <v>81</v>
      </c>
      <c r="B21" s="401">
        <v>4518</v>
      </c>
      <c r="C21" s="401">
        <v>4920</v>
      </c>
      <c r="D21" s="401">
        <v>4920</v>
      </c>
      <c r="E21" s="401">
        <v>4579</v>
      </c>
      <c r="F21" s="401">
        <v>5152</v>
      </c>
      <c r="G21" s="401">
        <v>5341</v>
      </c>
      <c r="H21" s="401">
        <v>5443</v>
      </c>
      <c r="I21" s="401">
        <v>5376</v>
      </c>
      <c r="J21" s="401">
        <v>5020</v>
      </c>
      <c r="K21" s="401">
        <v>5783</v>
      </c>
      <c r="L21" s="401">
        <v>5579</v>
      </c>
      <c r="M21" s="401">
        <v>5280</v>
      </c>
      <c r="N21" s="401">
        <v>5348</v>
      </c>
      <c r="O21" s="401">
        <v>5434</v>
      </c>
      <c r="P21" s="401">
        <v>6155</v>
      </c>
      <c r="Q21" s="401">
        <v>6462</v>
      </c>
      <c r="R21" s="401">
        <v>6692</v>
      </c>
      <c r="S21" s="401">
        <v>6906</v>
      </c>
      <c r="T21" s="401">
        <v>7183</v>
      </c>
      <c r="U21" s="401">
        <v>7378</v>
      </c>
      <c r="V21" s="401">
        <v>7940</v>
      </c>
      <c r="W21" s="401">
        <v>7473</v>
      </c>
      <c r="X21" s="401">
        <v>8203</v>
      </c>
      <c r="Y21" s="823">
        <v>8985</v>
      </c>
    </row>
    <row r="22" spans="1:26" ht="18" customHeight="1">
      <c r="A22" s="402" t="s">
        <v>82</v>
      </c>
      <c r="B22" s="401">
        <v>455</v>
      </c>
      <c r="C22" s="401">
        <v>393</v>
      </c>
      <c r="D22" s="401">
        <v>597</v>
      </c>
      <c r="E22" s="401">
        <v>814</v>
      </c>
      <c r="F22" s="401">
        <v>791</v>
      </c>
      <c r="G22" s="401">
        <v>763</v>
      </c>
      <c r="H22" s="401">
        <v>804</v>
      </c>
      <c r="I22" s="401">
        <v>924</v>
      </c>
      <c r="J22" s="401">
        <v>940</v>
      </c>
      <c r="K22" s="401">
        <v>1187</v>
      </c>
      <c r="L22" s="401">
        <v>1031</v>
      </c>
      <c r="M22" s="401">
        <v>1476</v>
      </c>
      <c r="N22" s="401">
        <v>1180</v>
      </c>
      <c r="O22" s="401">
        <v>1709</v>
      </c>
      <c r="P22" s="401">
        <v>1358</v>
      </c>
      <c r="Q22" s="401">
        <v>1255</v>
      </c>
      <c r="R22" s="401">
        <v>1363</v>
      </c>
      <c r="S22" s="401">
        <v>1396</v>
      </c>
      <c r="T22" s="401">
        <v>1213</v>
      </c>
      <c r="U22" s="401">
        <v>1264</v>
      </c>
      <c r="V22" s="401">
        <v>1656</v>
      </c>
      <c r="W22" s="401">
        <v>1975</v>
      </c>
      <c r="X22" s="401">
        <v>2424</v>
      </c>
      <c r="Y22" s="823">
        <v>2543</v>
      </c>
      <c r="Z22" s="65"/>
    </row>
    <row r="23" spans="1:26" ht="18" customHeight="1">
      <c r="A23" s="400" t="s">
        <v>83</v>
      </c>
      <c r="B23" s="401">
        <v>4162</v>
      </c>
      <c r="C23" s="401">
        <v>3344</v>
      </c>
      <c r="D23" s="401">
        <v>3514</v>
      </c>
      <c r="E23" s="401">
        <v>4004</v>
      </c>
      <c r="F23" s="401">
        <v>3894</v>
      </c>
      <c r="G23" s="401">
        <v>3837</v>
      </c>
      <c r="H23" s="401">
        <v>4150</v>
      </c>
      <c r="I23" s="401">
        <v>4091</v>
      </c>
      <c r="J23" s="401">
        <v>4383</v>
      </c>
      <c r="K23" s="401">
        <v>4581</v>
      </c>
      <c r="L23" s="401">
        <v>4924</v>
      </c>
      <c r="M23" s="401">
        <v>5220</v>
      </c>
      <c r="N23" s="401">
        <v>5106</v>
      </c>
      <c r="O23" s="401">
        <v>5329</v>
      </c>
      <c r="P23" s="401">
        <v>5104</v>
      </c>
      <c r="Q23" s="401">
        <v>5087</v>
      </c>
      <c r="R23" s="401">
        <v>5098</v>
      </c>
      <c r="S23" s="401">
        <v>5448</v>
      </c>
      <c r="T23" s="401">
        <v>6079</v>
      </c>
      <c r="U23" s="401">
        <v>5852</v>
      </c>
      <c r="V23" s="401">
        <v>4922</v>
      </c>
      <c r="W23" s="401">
        <v>4957</v>
      </c>
      <c r="X23" s="401">
        <v>5330</v>
      </c>
      <c r="Y23" s="823">
        <v>4638</v>
      </c>
      <c r="Z23" s="65"/>
    </row>
    <row r="24" spans="1:26" ht="18" customHeight="1">
      <c r="A24" s="400" t="s">
        <v>84</v>
      </c>
      <c r="B24" s="401">
        <v>2202</v>
      </c>
      <c r="C24" s="401">
        <v>1910</v>
      </c>
      <c r="D24" s="401">
        <v>2103</v>
      </c>
      <c r="E24" s="401">
        <v>2159</v>
      </c>
      <c r="F24" s="401">
        <v>2214</v>
      </c>
      <c r="G24" s="401">
        <v>2261</v>
      </c>
      <c r="H24" s="401">
        <v>2477</v>
      </c>
      <c r="I24" s="401">
        <v>2581</v>
      </c>
      <c r="J24" s="401">
        <v>2789</v>
      </c>
      <c r="K24" s="401">
        <v>3078</v>
      </c>
      <c r="L24" s="401">
        <v>3305</v>
      </c>
      <c r="M24" s="401">
        <v>3550</v>
      </c>
      <c r="N24" s="401">
        <v>3503</v>
      </c>
      <c r="O24" s="401">
        <v>3685</v>
      </c>
      <c r="P24" s="401">
        <v>3855</v>
      </c>
      <c r="Q24" s="401">
        <v>3728</v>
      </c>
      <c r="R24" s="401">
        <v>4154</v>
      </c>
      <c r="S24" s="401">
        <v>4135</v>
      </c>
      <c r="T24" s="401">
        <v>4151</v>
      </c>
      <c r="U24" s="401">
        <v>4193</v>
      </c>
      <c r="V24" s="401">
        <v>4054</v>
      </c>
      <c r="W24" s="401">
        <v>4019</v>
      </c>
      <c r="X24" s="401">
        <v>4074</v>
      </c>
      <c r="Y24" s="823">
        <v>3871</v>
      </c>
      <c r="Z24" s="65"/>
    </row>
    <row r="25" spans="2:25" ht="12.75">
      <c r="B25" s="410"/>
      <c r="C25" s="410"/>
      <c r="D25" s="410"/>
      <c r="E25" s="410"/>
      <c r="F25" s="410"/>
      <c r="G25" s="410"/>
      <c r="H25" s="410"/>
      <c r="I25" s="410"/>
      <c r="J25" s="410"/>
      <c r="K25" s="410"/>
      <c r="L25" s="410"/>
      <c r="M25" s="410"/>
      <c r="N25" s="410"/>
      <c r="O25" s="410"/>
      <c r="P25" s="410"/>
      <c r="Q25" s="410"/>
      <c r="R25" s="410"/>
      <c r="S25" s="410"/>
      <c r="T25" s="410"/>
      <c r="U25" s="410"/>
      <c r="V25" s="410"/>
      <c r="W25" s="410"/>
      <c r="X25" s="410"/>
      <c r="Y25" s="820"/>
    </row>
    <row r="26" spans="1:26" ht="12.75">
      <c r="A26" s="55" t="s">
        <v>77</v>
      </c>
      <c r="B26" s="410"/>
      <c r="C26" s="410"/>
      <c r="D26" s="410"/>
      <c r="E26" s="410"/>
      <c r="F26" s="410"/>
      <c r="G26" s="410"/>
      <c r="H26" s="410"/>
      <c r="I26" s="410"/>
      <c r="J26" s="410"/>
      <c r="K26" s="410"/>
      <c r="L26" s="410"/>
      <c r="M26" s="410"/>
      <c r="N26" s="410"/>
      <c r="O26" s="410"/>
      <c r="P26" s="410"/>
      <c r="Q26" s="410"/>
      <c r="R26" s="410"/>
      <c r="S26" s="410"/>
      <c r="T26" s="410"/>
      <c r="U26" s="410"/>
      <c r="V26" s="410"/>
      <c r="W26" s="410"/>
      <c r="X26" s="410"/>
      <c r="Y26" s="820"/>
      <c r="Z26" s="65"/>
    </row>
    <row r="27" spans="1:26" ht="12.75">
      <c r="A27" s="141" t="s">
        <v>85</v>
      </c>
      <c r="B27" s="410"/>
      <c r="C27" s="410"/>
      <c r="D27" s="410"/>
      <c r="E27" s="410"/>
      <c r="F27" s="410"/>
      <c r="G27" s="410"/>
      <c r="H27" s="410"/>
      <c r="I27" s="410"/>
      <c r="J27" s="410"/>
      <c r="K27" s="410"/>
      <c r="L27" s="410"/>
      <c r="M27" s="410"/>
      <c r="N27" s="410"/>
      <c r="O27" s="410"/>
      <c r="P27" s="410"/>
      <c r="Q27" s="410"/>
      <c r="R27" s="410"/>
      <c r="S27" s="410"/>
      <c r="T27" s="410"/>
      <c r="U27" s="410"/>
      <c r="V27" s="410"/>
      <c r="W27" s="410"/>
      <c r="X27" s="410"/>
      <c r="Y27" s="820"/>
      <c r="Z27" s="65"/>
    </row>
    <row r="28" spans="1:26" ht="12.75">
      <c r="A28" s="730"/>
      <c r="B28" s="410"/>
      <c r="C28" s="410"/>
      <c r="D28" s="410"/>
      <c r="E28" s="410"/>
      <c r="F28" s="410"/>
      <c r="G28" s="410"/>
      <c r="H28" s="410"/>
      <c r="I28" s="410"/>
      <c r="J28" s="410"/>
      <c r="K28" s="410"/>
      <c r="L28" s="410"/>
      <c r="M28" s="410"/>
      <c r="N28" s="410"/>
      <c r="O28" s="410"/>
      <c r="P28" s="410"/>
      <c r="Q28" s="410"/>
      <c r="R28" s="410"/>
      <c r="S28" s="410"/>
      <c r="T28" s="410"/>
      <c r="U28" s="410"/>
      <c r="V28" s="410"/>
      <c r="W28" s="410"/>
      <c r="X28" s="410"/>
      <c r="Y28" s="820"/>
      <c r="Z28" s="65"/>
    </row>
    <row r="29" spans="1:25" ht="12.75">
      <c r="A29" s="141"/>
      <c r="B29" s="410"/>
      <c r="C29" s="410"/>
      <c r="D29" s="410"/>
      <c r="E29" s="410"/>
      <c r="F29" s="410"/>
      <c r="G29" s="410"/>
      <c r="H29" s="410"/>
      <c r="I29" s="410"/>
      <c r="J29" s="410"/>
      <c r="K29" s="410"/>
      <c r="L29" s="410"/>
      <c r="M29" s="410"/>
      <c r="N29" s="410"/>
      <c r="O29" s="410"/>
      <c r="P29" s="410"/>
      <c r="Q29" s="410"/>
      <c r="R29" s="410"/>
      <c r="S29" s="410"/>
      <c r="T29" s="410"/>
      <c r="U29" s="410"/>
      <c r="V29" s="410"/>
      <c r="W29" s="410"/>
      <c r="X29" s="410"/>
      <c r="Y29" s="820"/>
    </row>
    <row r="30" spans="1:25" ht="12.75">
      <c r="A30" s="53" t="s">
        <v>59</v>
      </c>
      <c r="B30" s="360"/>
      <c r="C30" s="360"/>
      <c r="D30" s="360"/>
      <c r="E30" s="360"/>
      <c r="F30" s="360"/>
      <c r="G30" s="360"/>
      <c r="H30" s="360"/>
      <c r="I30" s="360"/>
      <c r="J30" s="360"/>
      <c r="K30" s="360"/>
      <c r="L30" s="360"/>
      <c r="M30" s="360"/>
      <c r="N30" s="360"/>
      <c r="O30" s="360"/>
      <c r="P30" s="360"/>
      <c r="Q30" s="360"/>
      <c r="R30" s="360"/>
      <c r="S30" s="360"/>
      <c r="T30" s="360"/>
      <c r="U30" s="360"/>
      <c r="V30" s="360"/>
      <c r="W30" s="360"/>
      <c r="X30" s="360"/>
      <c r="Y30" s="955"/>
    </row>
    <row r="31" spans="1:26" s="379" customFormat="1" ht="12.75">
      <c r="A31" s="1118" t="s">
        <v>790</v>
      </c>
      <c r="B31" s="1118"/>
      <c r="C31" s="1118"/>
      <c r="D31" s="1118"/>
      <c r="E31" s="1118"/>
      <c r="F31" s="1118"/>
      <c r="G31" s="1118"/>
      <c r="H31" s="1118"/>
      <c r="I31" s="1118"/>
      <c r="J31" s="1118"/>
      <c r="K31" s="1118"/>
      <c r="L31" s="1118"/>
      <c r="M31" s="1118"/>
      <c r="N31" s="1118"/>
      <c r="O31" s="1118"/>
      <c r="P31" s="1118"/>
      <c r="Q31" s="1118"/>
      <c r="R31" s="1118"/>
      <c r="S31" s="1118"/>
      <c r="T31" s="1118"/>
      <c r="U31" s="1118"/>
      <c r="V31" s="1118"/>
      <c r="W31" s="1118"/>
      <c r="X31" s="1118"/>
      <c r="Y31" s="1118"/>
      <c r="Z31" s="419"/>
    </row>
    <row r="32" spans="1:26" ht="12.75">
      <c r="A32" s="1118" t="s">
        <v>791</v>
      </c>
      <c r="B32" s="1118"/>
      <c r="C32" s="1118"/>
      <c r="D32" s="1118"/>
      <c r="E32" s="1118"/>
      <c r="F32" s="1118"/>
      <c r="G32" s="1118"/>
      <c r="H32" s="1118"/>
      <c r="I32" s="1118"/>
      <c r="J32" s="1118"/>
      <c r="K32" s="1118"/>
      <c r="L32" s="1118"/>
      <c r="M32" s="1118"/>
      <c r="N32" s="1118"/>
      <c r="O32" s="1118"/>
      <c r="P32" s="1118"/>
      <c r="Q32" s="1118"/>
      <c r="R32" s="1118"/>
      <c r="S32" s="1118"/>
      <c r="T32" s="1118"/>
      <c r="U32" s="1118"/>
      <c r="V32" s="1118"/>
      <c r="W32" s="1118"/>
      <c r="X32" s="1118"/>
      <c r="Y32" s="1118"/>
      <c r="Z32" s="65"/>
    </row>
    <row r="33" spans="2:25" ht="12.75">
      <c r="B33" s="408"/>
      <c r="C33" s="408"/>
      <c r="D33" s="408"/>
      <c r="E33" s="408"/>
      <c r="F33" s="408"/>
      <c r="G33" s="408"/>
      <c r="H33" s="408"/>
      <c r="I33" s="361"/>
      <c r="J33" s="361"/>
      <c r="K33" s="361"/>
      <c r="L33" s="361"/>
      <c r="M33" s="361"/>
      <c r="N33" s="361"/>
      <c r="O33" s="361"/>
      <c r="P33" s="361"/>
      <c r="Q33" s="361"/>
      <c r="R33" s="408"/>
      <c r="S33" s="408"/>
      <c r="T33" s="408"/>
      <c r="U33" s="408"/>
      <c r="V33" s="408"/>
      <c r="W33" s="408"/>
      <c r="X33" s="408"/>
      <c r="Y33" s="472"/>
    </row>
    <row r="34" spans="2:26" ht="12.75">
      <c r="B34" s="408"/>
      <c r="C34" s="408"/>
      <c r="D34" s="408"/>
      <c r="E34" s="408"/>
      <c r="Z34" s="65"/>
    </row>
    <row r="35" spans="2:25" ht="12.75">
      <c r="B35" s="360"/>
      <c r="C35" s="360"/>
      <c r="D35" s="360"/>
      <c r="E35" s="360"/>
      <c r="F35" s="360"/>
      <c r="G35" s="360"/>
      <c r="H35" s="360"/>
      <c r="I35" s="360"/>
      <c r="J35" s="360"/>
      <c r="K35" s="360"/>
      <c r="L35" s="360"/>
      <c r="M35" s="360"/>
      <c r="N35" s="360"/>
      <c r="O35" s="360"/>
      <c r="P35" s="360"/>
      <c r="Q35" s="360"/>
      <c r="R35" s="360"/>
      <c r="S35" s="360"/>
      <c r="T35" s="360"/>
      <c r="U35" s="360"/>
      <c r="V35" s="360"/>
      <c r="W35" s="360"/>
      <c r="X35" s="360"/>
      <c r="Y35" s="955"/>
    </row>
    <row r="36" spans="2:25" ht="12.75">
      <c r="B36" s="408"/>
      <c r="C36" s="408"/>
      <c r="D36" s="408"/>
      <c r="E36" s="408"/>
      <c r="F36" s="408"/>
      <c r="G36" s="408"/>
      <c r="H36" s="408"/>
      <c r="I36" s="361"/>
      <c r="J36" s="361"/>
      <c r="K36" s="361"/>
      <c r="L36" s="361"/>
      <c r="M36" s="361"/>
      <c r="N36" s="361"/>
      <c r="O36" s="361"/>
      <c r="P36" s="361"/>
      <c r="Q36" s="361"/>
      <c r="R36" s="408"/>
      <c r="S36" s="408"/>
      <c r="T36" s="408"/>
      <c r="U36" s="408"/>
      <c r="V36" s="408"/>
      <c r="W36" s="408"/>
      <c r="X36" s="408"/>
      <c r="Y36" s="472"/>
    </row>
    <row r="37" spans="2:25" s="419" customFormat="1" ht="12.75">
      <c r="B37" s="416"/>
      <c r="C37" s="416"/>
      <c r="D37" s="416"/>
      <c r="E37" s="416"/>
      <c r="F37" s="416"/>
      <c r="G37" s="416"/>
      <c r="H37" s="416"/>
      <c r="I37" s="416"/>
      <c r="J37" s="416"/>
      <c r="K37" s="416"/>
      <c r="L37" s="416"/>
      <c r="M37" s="416"/>
      <c r="N37" s="416"/>
      <c r="O37" s="416"/>
      <c r="P37" s="416"/>
      <c r="Q37" s="416"/>
      <c r="R37" s="416"/>
      <c r="S37" s="416"/>
      <c r="T37" s="416"/>
      <c r="U37" s="416"/>
      <c r="V37" s="416"/>
      <c r="W37" s="416"/>
      <c r="X37" s="416"/>
      <c r="Y37" s="472"/>
    </row>
    <row r="38" spans="2:25" s="419" customFormat="1" ht="12.75">
      <c r="B38" s="416"/>
      <c r="C38" s="416"/>
      <c r="D38" s="416"/>
      <c r="E38" s="416"/>
      <c r="F38" s="416"/>
      <c r="G38" s="416"/>
      <c r="H38" s="416"/>
      <c r="I38" s="416"/>
      <c r="J38" s="416"/>
      <c r="K38" s="416"/>
      <c r="L38" s="416"/>
      <c r="M38" s="416"/>
      <c r="N38" s="416"/>
      <c r="O38" s="416"/>
      <c r="P38" s="416"/>
      <c r="Q38" s="416"/>
      <c r="R38" s="416"/>
      <c r="S38" s="416"/>
      <c r="T38" s="416"/>
      <c r="U38" s="416"/>
      <c r="V38" s="416"/>
      <c r="W38" s="416"/>
      <c r="X38" s="416"/>
      <c r="Y38" s="472"/>
    </row>
  </sheetData>
  <sheetProtection/>
  <mergeCells count="5">
    <mergeCell ref="A1:Y1"/>
    <mergeCell ref="A3:Y3"/>
    <mergeCell ref="A4:Y4"/>
    <mergeCell ref="A31:Y31"/>
    <mergeCell ref="A32:Y32"/>
  </mergeCells>
  <printOptions horizontalCentered="1"/>
  <pageMargins left="0.7874015748031497" right="0.7874015748031497" top="0.984251968503937" bottom="0.984251968503937" header="0" footer="0"/>
  <pageSetup fitToHeight="1" fitToWidth="1" horizontalDpi="600" verticalDpi="600" orientation="landscape" scale="45" r:id="rId1"/>
</worksheet>
</file>

<file path=xl/worksheets/sheet50.xml><?xml version="1.0" encoding="utf-8"?>
<worksheet xmlns="http://schemas.openxmlformats.org/spreadsheetml/2006/main" xmlns:r="http://schemas.openxmlformats.org/officeDocument/2006/relationships">
  <sheetPr>
    <tabColor rgb="FF660066"/>
    <pageSetUpPr fitToPage="1"/>
  </sheetPr>
  <dimension ref="A1:G114"/>
  <sheetViews>
    <sheetView zoomScalePageLayoutView="0" workbookViewId="0" topLeftCell="A1">
      <pane ySplit="7" topLeftCell="A8" activePane="bottomLeft" state="frozen"/>
      <selection pane="topLeft" activeCell="A1" sqref="A1:H1"/>
      <selection pane="bottomLeft" activeCell="A1" sqref="A1:G1"/>
    </sheetView>
  </sheetViews>
  <sheetFormatPr defaultColWidth="10.8515625" defaultRowHeight="12.75"/>
  <cols>
    <col min="1" max="1" width="10.8515625" style="562" customWidth="1"/>
    <col min="2" max="2" width="11.8515625" style="562" customWidth="1"/>
    <col min="3" max="4" width="11.8515625" style="566" customWidth="1"/>
    <col min="5" max="6" width="11.8515625" style="562" customWidth="1"/>
    <col min="7" max="7" width="11.8515625" style="566" customWidth="1"/>
    <col min="8" max="16384" width="10.8515625" style="562" customWidth="1"/>
  </cols>
  <sheetData>
    <row r="1" spans="1:7" ht="12.75">
      <c r="A1" s="1216" t="s">
        <v>469</v>
      </c>
      <c r="B1" s="1216"/>
      <c r="C1" s="1216"/>
      <c r="D1" s="1216"/>
      <c r="E1" s="1216"/>
      <c r="F1" s="1216"/>
      <c r="G1" s="1216"/>
    </row>
    <row r="2" spans="1:7" ht="12.75">
      <c r="A2" s="1216"/>
      <c r="B2" s="1216"/>
      <c r="C2" s="1216"/>
      <c r="D2" s="1216"/>
      <c r="E2" s="1216"/>
      <c r="F2" s="1216"/>
      <c r="G2" s="1216"/>
    </row>
    <row r="3" spans="1:7" s="563" customFormat="1" ht="18" customHeight="1">
      <c r="A3" s="1217" t="s">
        <v>465</v>
      </c>
      <c r="B3" s="1217"/>
      <c r="C3" s="1217"/>
      <c r="D3" s="1217"/>
      <c r="E3" s="1217"/>
      <c r="F3" s="1217"/>
      <c r="G3" s="1217"/>
    </row>
    <row r="4" spans="1:7" s="563" customFormat="1" ht="18" customHeight="1">
      <c r="A4" s="1218" t="s">
        <v>844</v>
      </c>
      <c r="B4" s="1218"/>
      <c r="C4" s="1218"/>
      <c r="D4" s="1218"/>
      <c r="E4" s="1218"/>
      <c r="F4" s="1218"/>
      <c r="G4" s="1218"/>
    </row>
    <row r="5" spans="1:2" ht="12.75">
      <c r="A5" s="564"/>
      <c r="B5" s="565"/>
    </row>
    <row r="6" spans="1:7" s="567" customFormat="1" ht="18" customHeight="1">
      <c r="A6" s="1219" t="s">
        <v>423</v>
      </c>
      <c r="B6" s="1219" t="s">
        <v>466</v>
      </c>
      <c r="C6" s="1220" t="s">
        <v>467</v>
      </c>
      <c r="D6" s="1219" t="s">
        <v>122</v>
      </c>
      <c r="E6" s="1219"/>
      <c r="F6" s="1219"/>
      <c r="G6" s="1220" t="s">
        <v>61</v>
      </c>
    </row>
    <row r="7" spans="1:7" s="567" customFormat="1" ht="18" customHeight="1">
      <c r="A7" s="1219"/>
      <c r="B7" s="1219"/>
      <c r="C7" s="1220"/>
      <c r="D7" s="568" t="s">
        <v>505</v>
      </c>
      <c r="E7" s="569" t="s">
        <v>468</v>
      </c>
      <c r="F7" s="569" t="s">
        <v>84</v>
      </c>
      <c r="G7" s="1220"/>
    </row>
    <row r="8" spans="1:7" ht="18" customHeight="1">
      <c r="A8" s="565">
        <v>1924</v>
      </c>
      <c r="B8" s="570">
        <v>283</v>
      </c>
      <c r="C8" s="1215">
        <v>33.394</v>
      </c>
      <c r="D8" s="1215"/>
      <c r="E8" s="1215"/>
      <c r="F8" s="1215"/>
      <c r="G8" s="571">
        <f aca="true" t="shared" si="0" ref="G8:G35">SUM(B8+C8)</f>
        <v>316.394</v>
      </c>
    </row>
    <row r="9" spans="1:7" ht="18" customHeight="1">
      <c r="A9" s="565">
        <v>1925</v>
      </c>
      <c r="B9" s="570">
        <v>293</v>
      </c>
      <c r="C9" s="1215">
        <v>34.574</v>
      </c>
      <c r="D9" s="1215"/>
      <c r="E9" s="1215"/>
      <c r="F9" s="1215"/>
      <c r="G9" s="571">
        <f t="shared" si="0"/>
        <v>327.574</v>
      </c>
    </row>
    <row r="10" spans="1:7" ht="18" customHeight="1">
      <c r="A10" s="565">
        <v>1926</v>
      </c>
      <c r="B10" s="570">
        <v>283</v>
      </c>
      <c r="C10" s="1215">
        <v>33.394</v>
      </c>
      <c r="D10" s="1215"/>
      <c r="E10" s="1215"/>
      <c r="F10" s="1215"/>
      <c r="G10" s="571">
        <f t="shared" si="0"/>
        <v>316.394</v>
      </c>
    </row>
    <row r="11" spans="1:7" ht="18" customHeight="1">
      <c r="A11" s="565">
        <v>1927</v>
      </c>
      <c r="B11" s="570">
        <v>318</v>
      </c>
      <c r="C11" s="1215">
        <v>37.524</v>
      </c>
      <c r="D11" s="1215"/>
      <c r="E11" s="1215"/>
      <c r="F11" s="1215"/>
      <c r="G11" s="571">
        <f t="shared" si="0"/>
        <v>355.524</v>
      </c>
    </row>
    <row r="12" spans="1:7" ht="18" customHeight="1">
      <c r="A12" s="565">
        <v>1928</v>
      </c>
      <c r="B12" s="570">
        <v>325</v>
      </c>
      <c r="C12" s="1215">
        <v>38.35</v>
      </c>
      <c r="D12" s="1215"/>
      <c r="E12" s="1215"/>
      <c r="F12" s="1215"/>
      <c r="G12" s="571">
        <f t="shared" si="0"/>
        <v>363.35</v>
      </c>
    </row>
    <row r="13" spans="1:7" ht="18" customHeight="1">
      <c r="A13" s="565">
        <v>1929</v>
      </c>
      <c r="B13" s="570">
        <v>419</v>
      </c>
      <c r="C13" s="1215">
        <v>49.442</v>
      </c>
      <c r="D13" s="1215"/>
      <c r="E13" s="1215"/>
      <c r="F13" s="1215"/>
      <c r="G13" s="571">
        <f t="shared" si="0"/>
        <v>468.442</v>
      </c>
    </row>
    <row r="14" spans="1:7" ht="18" customHeight="1">
      <c r="A14" s="565">
        <v>1930</v>
      </c>
      <c r="B14" s="570">
        <v>400</v>
      </c>
      <c r="C14" s="1215">
        <v>47.199999999999996</v>
      </c>
      <c r="D14" s="1215"/>
      <c r="E14" s="1215"/>
      <c r="F14" s="1215"/>
      <c r="G14" s="571">
        <f t="shared" si="0"/>
        <v>447.2</v>
      </c>
    </row>
    <row r="15" spans="1:7" ht="18" customHeight="1">
      <c r="A15" s="565">
        <v>1931</v>
      </c>
      <c r="B15" s="570">
        <v>405</v>
      </c>
      <c r="C15" s="1215">
        <v>47.79</v>
      </c>
      <c r="D15" s="1215"/>
      <c r="E15" s="1215"/>
      <c r="F15" s="1215"/>
      <c r="G15" s="571">
        <f t="shared" si="0"/>
        <v>452.79</v>
      </c>
    </row>
    <row r="16" spans="1:7" ht="18" customHeight="1">
      <c r="A16" s="565">
        <v>1932</v>
      </c>
      <c r="B16" s="570">
        <v>447</v>
      </c>
      <c r="C16" s="1215">
        <v>52.745999999999995</v>
      </c>
      <c r="D16" s="1215"/>
      <c r="E16" s="1215"/>
      <c r="F16" s="1215"/>
      <c r="G16" s="571">
        <f t="shared" si="0"/>
        <v>499.746</v>
      </c>
    </row>
    <row r="17" spans="1:7" ht="18" customHeight="1">
      <c r="A17" s="565">
        <v>1933</v>
      </c>
      <c r="B17" s="570">
        <v>581</v>
      </c>
      <c r="C17" s="1215">
        <v>68.55799999999999</v>
      </c>
      <c r="D17" s="1215"/>
      <c r="E17" s="1215"/>
      <c r="F17" s="1215"/>
      <c r="G17" s="571">
        <f t="shared" si="0"/>
        <v>649.558</v>
      </c>
    </row>
    <row r="18" spans="1:7" ht="18" customHeight="1">
      <c r="A18" s="565">
        <v>1934</v>
      </c>
      <c r="B18" s="570">
        <v>749</v>
      </c>
      <c r="C18" s="1215">
        <v>88.38199999999999</v>
      </c>
      <c r="D18" s="1215"/>
      <c r="E18" s="1215"/>
      <c r="F18" s="1215"/>
      <c r="G18" s="571">
        <f t="shared" si="0"/>
        <v>837.382</v>
      </c>
    </row>
    <row r="19" spans="1:7" ht="18" customHeight="1">
      <c r="A19" s="565">
        <v>1935</v>
      </c>
      <c r="B19" s="570">
        <v>675</v>
      </c>
      <c r="C19" s="1215">
        <v>79.64999999999999</v>
      </c>
      <c r="D19" s="1215"/>
      <c r="E19" s="1215"/>
      <c r="F19" s="1215"/>
      <c r="G19" s="571">
        <f t="shared" si="0"/>
        <v>754.65</v>
      </c>
    </row>
    <row r="20" spans="1:7" ht="18" customHeight="1">
      <c r="A20" s="565">
        <v>1936</v>
      </c>
      <c r="B20" s="570">
        <v>720</v>
      </c>
      <c r="C20" s="1215">
        <v>84.96</v>
      </c>
      <c r="D20" s="1215"/>
      <c r="E20" s="1215"/>
      <c r="F20" s="1215"/>
      <c r="G20" s="571">
        <f t="shared" si="0"/>
        <v>804.96</v>
      </c>
    </row>
    <row r="21" spans="1:7" ht="18" customHeight="1">
      <c r="A21" s="565">
        <v>1937</v>
      </c>
      <c r="B21" s="570">
        <v>821</v>
      </c>
      <c r="C21" s="1215">
        <v>96.878</v>
      </c>
      <c r="D21" s="1215"/>
      <c r="E21" s="1215"/>
      <c r="F21" s="1215"/>
      <c r="G21" s="571">
        <f t="shared" si="0"/>
        <v>917.878</v>
      </c>
    </row>
    <row r="22" spans="1:7" ht="18" customHeight="1">
      <c r="A22" s="565">
        <v>1938</v>
      </c>
      <c r="B22" s="570">
        <v>663</v>
      </c>
      <c r="C22" s="1215">
        <v>78.234</v>
      </c>
      <c r="D22" s="1215"/>
      <c r="E22" s="1215"/>
      <c r="F22" s="1215"/>
      <c r="G22" s="571">
        <f t="shared" si="0"/>
        <v>741.234</v>
      </c>
    </row>
    <row r="23" spans="1:7" ht="18" customHeight="1">
      <c r="A23" s="565">
        <v>1939</v>
      </c>
      <c r="B23" s="570">
        <v>724</v>
      </c>
      <c r="C23" s="1215">
        <v>85.432</v>
      </c>
      <c r="D23" s="1215"/>
      <c r="E23" s="1215"/>
      <c r="F23" s="1215"/>
      <c r="G23" s="571">
        <f t="shared" si="0"/>
        <v>809.432</v>
      </c>
    </row>
    <row r="24" spans="1:7" ht="18" customHeight="1">
      <c r="A24" s="565">
        <v>1940</v>
      </c>
      <c r="B24" s="570">
        <v>706</v>
      </c>
      <c r="C24" s="1215">
        <v>83.30799999999999</v>
      </c>
      <c r="D24" s="1215"/>
      <c r="E24" s="1215"/>
      <c r="F24" s="1215"/>
      <c r="G24" s="571">
        <f t="shared" si="0"/>
        <v>789.308</v>
      </c>
    </row>
    <row r="25" spans="1:7" ht="18" customHeight="1">
      <c r="A25" s="565">
        <v>1941</v>
      </c>
      <c r="B25" s="570">
        <v>735</v>
      </c>
      <c r="C25" s="1215">
        <v>86.72999999999999</v>
      </c>
      <c r="D25" s="1215"/>
      <c r="E25" s="1215"/>
      <c r="F25" s="1215"/>
      <c r="G25" s="571">
        <f t="shared" si="0"/>
        <v>821.73</v>
      </c>
    </row>
    <row r="26" spans="1:7" ht="18" customHeight="1">
      <c r="A26" s="565">
        <v>1942</v>
      </c>
      <c r="B26" s="570">
        <v>839</v>
      </c>
      <c r="C26" s="1215">
        <v>99.002</v>
      </c>
      <c r="D26" s="1215"/>
      <c r="E26" s="1215"/>
      <c r="F26" s="1215"/>
      <c r="G26" s="571">
        <f t="shared" si="0"/>
        <v>938.002</v>
      </c>
    </row>
    <row r="27" spans="1:7" ht="18" customHeight="1">
      <c r="A27" s="565">
        <v>1943</v>
      </c>
      <c r="B27" s="570">
        <v>919</v>
      </c>
      <c r="C27" s="1215">
        <v>108.442</v>
      </c>
      <c r="D27" s="1215"/>
      <c r="E27" s="1215"/>
      <c r="F27" s="1215"/>
      <c r="G27" s="571">
        <f t="shared" si="0"/>
        <v>1027.442</v>
      </c>
    </row>
    <row r="28" spans="1:7" ht="18" customHeight="1">
      <c r="A28" s="565">
        <v>1944</v>
      </c>
      <c r="B28" s="570">
        <v>1034</v>
      </c>
      <c r="C28" s="1215">
        <v>122.012</v>
      </c>
      <c r="D28" s="1215"/>
      <c r="E28" s="1215"/>
      <c r="F28" s="1215"/>
      <c r="G28" s="571">
        <f t="shared" si="0"/>
        <v>1156.012</v>
      </c>
    </row>
    <row r="29" spans="1:7" ht="18" customHeight="1">
      <c r="A29" s="565">
        <v>1945</v>
      </c>
      <c r="B29" s="570">
        <v>1086</v>
      </c>
      <c r="C29" s="1215">
        <v>128.148</v>
      </c>
      <c r="D29" s="1215"/>
      <c r="E29" s="1215"/>
      <c r="F29" s="1215"/>
      <c r="G29" s="571">
        <f t="shared" si="0"/>
        <v>1214.148</v>
      </c>
    </row>
    <row r="30" spans="1:7" ht="18" customHeight="1">
      <c r="A30" s="565">
        <v>1946</v>
      </c>
      <c r="B30" s="570">
        <v>1202</v>
      </c>
      <c r="C30" s="1215">
        <v>141.83599999999998</v>
      </c>
      <c r="D30" s="1215"/>
      <c r="E30" s="1215"/>
      <c r="F30" s="1215"/>
      <c r="G30" s="571">
        <f t="shared" si="0"/>
        <v>1343.836</v>
      </c>
    </row>
    <row r="31" spans="1:7" ht="18" customHeight="1">
      <c r="A31" s="565">
        <v>1947</v>
      </c>
      <c r="B31" s="570">
        <v>1272</v>
      </c>
      <c r="C31" s="1215">
        <v>150.096</v>
      </c>
      <c r="D31" s="1215"/>
      <c r="E31" s="1215"/>
      <c r="F31" s="1215"/>
      <c r="G31" s="571">
        <f t="shared" si="0"/>
        <v>1422.096</v>
      </c>
    </row>
    <row r="32" spans="1:7" ht="18" customHeight="1">
      <c r="A32" s="565">
        <v>1948</v>
      </c>
      <c r="B32" s="570">
        <v>1171</v>
      </c>
      <c r="C32" s="1215">
        <v>138.178</v>
      </c>
      <c r="D32" s="1215"/>
      <c r="E32" s="1215"/>
      <c r="F32" s="1215"/>
      <c r="G32" s="571">
        <f t="shared" si="0"/>
        <v>1309.1779999999999</v>
      </c>
    </row>
    <row r="33" spans="1:7" ht="18" customHeight="1">
      <c r="A33" s="565">
        <v>1949</v>
      </c>
      <c r="B33" s="570">
        <v>1273</v>
      </c>
      <c r="C33" s="1215">
        <v>150.214</v>
      </c>
      <c r="D33" s="1215"/>
      <c r="E33" s="1215"/>
      <c r="F33" s="1215"/>
      <c r="G33" s="571">
        <f t="shared" si="0"/>
        <v>1423.214</v>
      </c>
    </row>
    <row r="34" spans="1:7" ht="18" customHeight="1">
      <c r="A34" s="565">
        <v>1950</v>
      </c>
      <c r="B34" s="570">
        <v>1329</v>
      </c>
      <c r="C34" s="1215">
        <v>156.822</v>
      </c>
      <c r="D34" s="1215"/>
      <c r="E34" s="1215"/>
      <c r="F34" s="1215"/>
      <c r="G34" s="571">
        <f t="shared" si="0"/>
        <v>1485.8220000000001</v>
      </c>
    </row>
    <row r="35" spans="1:7" ht="18" customHeight="1">
      <c r="A35" s="565">
        <v>1951</v>
      </c>
      <c r="B35" s="570">
        <v>1318</v>
      </c>
      <c r="C35" s="1215">
        <v>155.524</v>
      </c>
      <c r="D35" s="1215"/>
      <c r="E35" s="1215"/>
      <c r="F35" s="1215"/>
      <c r="G35" s="571">
        <f t="shared" si="0"/>
        <v>1473.524</v>
      </c>
    </row>
    <row r="36" spans="1:7" ht="18" customHeight="1">
      <c r="A36" s="565">
        <v>1952</v>
      </c>
      <c r="B36" s="570">
        <v>1368</v>
      </c>
      <c r="C36" s="572">
        <v>113</v>
      </c>
      <c r="D36" s="572">
        <v>99.99999999999983</v>
      </c>
      <c r="E36" s="573">
        <v>43</v>
      </c>
      <c r="F36" s="574">
        <v>19</v>
      </c>
      <c r="G36" s="572">
        <f aca="true" t="shared" si="1" ref="G36:G67">SUM(B36:F36)</f>
        <v>1642.9999999999998</v>
      </c>
    </row>
    <row r="37" spans="1:7" ht="18" customHeight="1">
      <c r="A37" s="565">
        <v>1953</v>
      </c>
      <c r="B37" s="570">
        <v>1572</v>
      </c>
      <c r="C37" s="572">
        <v>104</v>
      </c>
      <c r="D37" s="572">
        <v>108.75516712429801</v>
      </c>
      <c r="E37" s="573">
        <v>31</v>
      </c>
      <c r="F37" s="574">
        <v>13</v>
      </c>
      <c r="G37" s="572">
        <f t="shared" si="1"/>
        <v>1828.755167124298</v>
      </c>
    </row>
    <row r="38" spans="1:7" ht="18" customHeight="1">
      <c r="A38" s="565">
        <v>1954</v>
      </c>
      <c r="B38" s="570">
        <v>1570</v>
      </c>
      <c r="C38" s="572">
        <v>138</v>
      </c>
      <c r="D38" s="572">
        <v>118.27686376234011</v>
      </c>
      <c r="E38" s="573">
        <v>26</v>
      </c>
      <c r="F38" s="574">
        <v>17</v>
      </c>
      <c r="G38" s="572">
        <f t="shared" si="1"/>
        <v>1869.27686376234</v>
      </c>
    </row>
    <row r="39" spans="1:7" ht="18" customHeight="1">
      <c r="A39" s="565">
        <v>1955</v>
      </c>
      <c r="B39" s="570">
        <v>1550</v>
      </c>
      <c r="C39" s="572">
        <v>81</v>
      </c>
      <c r="D39" s="572">
        <v>128.63220085411152</v>
      </c>
      <c r="E39" s="573">
        <v>38</v>
      </c>
      <c r="F39" s="574">
        <v>13</v>
      </c>
      <c r="G39" s="572">
        <f t="shared" si="1"/>
        <v>1810.6322008541115</v>
      </c>
    </row>
    <row r="40" spans="1:7" ht="18" customHeight="1">
      <c r="A40" s="565">
        <v>1956</v>
      </c>
      <c r="B40" s="570">
        <v>1431</v>
      </c>
      <c r="C40" s="572">
        <v>75</v>
      </c>
      <c r="D40" s="572">
        <v>139.8941650145519</v>
      </c>
      <c r="E40" s="573">
        <v>33</v>
      </c>
      <c r="F40" s="574">
        <v>15</v>
      </c>
      <c r="G40" s="572">
        <f t="shared" si="1"/>
        <v>1693.8941650145518</v>
      </c>
    </row>
    <row r="41" spans="1:7" ht="18" customHeight="1">
      <c r="A41" s="565">
        <v>1957</v>
      </c>
      <c r="B41" s="570">
        <v>1377</v>
      </c>
      <c r="C41" s="572">
        <v>87</v>
      </c>
      <c r="D41" s="572">
        <v>152.1421329587174</v>
      </c>
      <c r="E41" s="573">
        <v>44</v>
      </c>
      <c r="F41" s="574">
        <v>13</v>
      </c>
      <c r="G41" s="572">
        <f t="shared" si="1"/>
        <v>1673.1421329587174</v>
      </c>
    </row>
    <row r="42" spans="1:7" ht="18" customHeight="1">
      <c r="A42" s="565">
        <v>1958</v>
      </c>
      <c r="B42" s="570">
        <v>1543</v>
      </c>
      <c r="C42" s="572">
        <v>104</v>
      </c>
      <c r="D42" s="572">
        <v>165.4624309657251</v>
      </c>
      <c r="E42" s="573">
        <v>26</v>
      </c>
      <c r="F42" s="574">
        <v>18</v>
      </c>
      <c r="G42" s="572">
        <f t="shared" si="1"/>
        <v>1856.4624309657252</v>
      </c>
    </row>
    <row r="43" spans="1:7" ht="18" customHeight="1">
      <c r="A43" s="565">
        <v>1959</v>
      </c>
      <c r="B43" s="570">
        <v>1691</v>
      </c>
      <c r="C43" s="572">
        <v>54</v>
      </c>
      <c r="D43" s="572">
        <v>179.9489433247009</v>
      </c>
      <c r="E43" s="573">
        <v>44</v>
      </c>
      <c r="F43" s="574">
        <v>9</v>
      </c>
      <c r="G43" s="572">
        <f t="shared" si="1"/>
        <v>1977.9489433247008</v>
      </c>
    </row>
    <row r="44" spans="1:7" ht="18" customHeight="1">
      <c r="A44" s="565">
        <v>1960</v>
      </c>
      <c r="B44" s="570">
        <v>1714</v>
      </c>
      <c r="C44" s="572">
        <v>54</v>
      </c>
      <c r="D44" s="572">
        <v>195.70377405118714</v>
      </c>
      <c r="E44" s="573">
        <v>29</v>
      </c>
      <c r="F44" s="574">
        <v>14</v>
      </c>
      <c r="G44" s="572">
        <f t="shared" si="1"/>
        <v>2006.703774051187</v>
      </c>
    </row>
    <row r="45" spans="1:7" ht="18" customHeight="1">
      <c r="A45" s="565">
        <v>1961</v>
      </c>
      <c r="B45" s="570">
        <v>1794</v>
      </c>
      <c r="C45" s="572">
        <v>61</v>
      </c>
      <c r="D45" s="572">
        <v>212.83796653792746</v>
      </c>
      <c r="E45" s="573">
        <v>39</v>
      </c>
      <c r="F45" s="574">
        <v>10</v>
      </c>
      <c r="G45" s="572">
        <f t="shared" si="1"/>
        <v>2116.8379665379275</v>
      </c>
    </row>
    <row r="46" spans="1:7" ht="18" customHeight="1">
      <c r="A46" s="565">
        <v>1962</v>
      </c>
      <c r="B46" s="570">
        <v>1961</v>
      </c>
      <c r="C46" s="572">
        <v>64</v>
      </c>
      <c r="D46" s="572">
        <v>231.4722862122809</v>
      </c>
      <c r="E46" s="573">
        <v>48</v>
      </c>
      <c r="F46" s="574">
        <v>12</v>
      </c>
      <c r="G46" s="572">
        <f t="shared" si="1"/>
        <v>2316.472286212281</v>
      </c>
    </row>
    <row r="47" spans="1:7" ht="18" customHeight="1">
      <c r="A47" s="565">
        <v>1963</v>
      </c>
      <c r="B47" s="570">
        <v>2862</v>
      </c>
      <c r="C47" s="572">
        <v>104</v>
      </c>
      <c r="D47" s="572">
        <v>251.73807171659996</v>
      </c>
      <c r="E47" s="573">
        <v>199</v>
      </c>
      <c r="F47" s="574">
        <v>15</v>
      </c>
      <c r="G47" s="572">
        <f t="shared" si="1"/>
        <v>3431.7380717165997</v>
      </c>
    </row>
    <row r="48" spans="1:7" ht="18" customHeight="1">
      <c r="A48" s="565">
        <v>1964</v>
      </c>
      <c r="B48" s="570">
        <v>2955</v>
      </c>
      <c r="C48" s="572">
        <v>66</v>
      </c>
      <c r="D48" s="572">
        <v>273.77816061087395</v>
      </c>
      <c r="E48" s="573">
        <v>72</v>
      </c>
      <c r="F48" s="574">
        <v>10</v>
      </c>
      <c r="G48" s="572">
        <f t="shared" si="1"/>
        <v>3376.778160610874</v>
      </c>
    </row>
    <row r="49" spans="1:7" ht="18" customHeight="1">
      <c r="A49" s="565">
        <v>1965</v>
      </c>
      <c r="B49" s="570">
        <v>3443</v>
      </c>
      <c r="C49" s="572">
        <v>121</v>
      </c>
      <c r="D49" s="572">
        <v>297.7478961221855</v>
      </c>
      <c r="E49" s="573">
        <v>108</v>
      </c>
      <c r="F49" s="574">
        <v>30</v>
      </c>
      <c r="G49" s="572">
        <f t="shared" si="1"/>
        <v>3999.7478961221855</v>
      </c>
    </row>
    <row r="50" spans="1:7" ht="18" customHeight="1">
      <c r="A50" s="565">
        <v>1966</v>
      </c>
      <c r="B50" s="570">
        <v>3319</v>
      </c>
      <c r="C50" s="572">
        <v>193</v>
      </c>
      <c r="D50" s="572">
        <v>323.81622203676466</v>
      </c>
      <c r="E50" s="573">
        <v>25</v>
      </c>
      <c r="F50" s="574">
        <v>13</v>
      </c>
      <c r="G50" s="572">
        <f t="shared" si="1"/>
        <v>3873.816222036765</v>
      </c>
    </row>
    <row r="51" spans="1:7" ht="18" customHeight="1">
      <c r="A51" s="565">
        <v>1967</v>
      </c>
      <c r="B51" s="570">
        <v>4106</v>
      </c>
      <c r="C51" s="572">
        <v>208</v>
      </c>
      <c r="D51" s="572">
        <v>352.16687345167196</v>
      </c>
      <c r="E51" s="573">
        <v>28</v>
      </c>
      <c r="F51" s="574">
        <v>17</v>
      </c>
      <c r="G51" s="572">
        <f t="shared" si="1"/>
        <v>4711.166873451672</v>
      </c>
    </row>
    <row r="52" spans="1:7" ht="18" customHeight="1">
      <c r="A52" s="565">
        <v>1968</v>
      </c>
      <c r="B52" s="570">
        <v>4149</v>
      </c>
      <c r="C52" s="572">
        <v>99</v>
      </c>
      <c r="D52" s="572">
        <v>382.9996717787816</v>
      </c>
      <c r="E52" s="573">
        <v>36</v>
      </c>
      <c r="F52" s="574">
        <v>21</v>
      </c>
      <c r="G52" s="572">
        <f t="shared" si="1"/>
        <v>4687.999671778782</v>
      </c>
    </row>
    <row r="53" spans="1:7" ht="18" customHeight="1">
      <c r="A53" s="565">
        <v>1969</v>
      </c>
      <c r="B53" s="570">
        <v>5323</v>
      </c>
      <c r="C53" s="572">
        <v>76</v>
      </c>
      <c r="D53" s="572">
        <v>416.53193312852756</v>
      </c>
      <c r="E53" s="573">
        <v>54</v>
      </c>
      <c r="F53" s="574">
        <v>32</v>
      </c>
      <c r="G53" s="572">
        <f t="shared" si="1"/>
        <v>5901.531933128527</v>
      </c>
    </row>
    <row r="54" spans="1:7" ht="18" customHeight="1">
      <c r="A54" s="565">
        <v>1970</v>
      </c>
      <c r="B54" s="570">
        <v>5784</v>
      </c>
      <c r="C54" s="572">
        <v>215</v>
      </c>
      <c r="D54" s="572">
        <v>453</v>
      </c>
      <c r="E54" s="573">
        <v>120</v>
      </c>
      <c r="F54" s="574">
        <v>30</v>
      </c>
      <c r="G54" s="572">
        <f t="shared" si="1"/>
        <v>6602</v>
      </c>
    </row>
    <row r="55" spans="1:7" ht="18" customHeight="1">
      <c r="A55" s="565">
        <v>1971</v>
      </c>
      <c r="B55" s="570">
        <v>6571</v>
      </c>
      <c r="C55" s="572">
        <v>222.79654484895588</v>
      </c>
      <c r="D55" s="572">
        <v>495.7664304414119</v>
      </c>
      <c r="E55" s="572">
        <v>117</v>
      </c>
      <c r="F55" s="574">
        <v>32</v>
      </c>
      <c r="G55" s="572">
        <f t="shared" si="1"/>
        <v>7438.562975290368</v>
      </c>
    </row>
    <row r="56" spans="1:7" ht="18" customHeight="1">
      <c r="A56" s="565">
        <v>1972</v>
      </c>
      <c r="B56" s="570">
        <v>5247</v>
      </c>
      <c r="C56" s="572">
        <v>230.87581579829208</v>
      </c>
      <c r="D56" s="572">
        <v>542.5703168931987</v>
      </c>
      <c r="E56" s="572">
        <v>80</v>
      </c>
      <c r="F56" s="574">
        <v>33</v>
      </c>
      <c r="G56" s="572">
        <f t="shared" si="1"/>
        <v>6133.446132691491</v>
      </c>
    </row>
    <row r="57" spans="1:7" ht="18" customHeight="1">
      <c r="A57" s="565">
        <v>1973</v>
      </c>
      <c r="B57" s="570">
        <v>6771</v>
      </c>
      <c r="C57" s="572">
        <v>239.2480653443881</v>
      </c>
      <c r="D57" s="572">
        <v>593.7928239947163</v>
      </c>
      <c r="E57" s="572">
        <v>127</v>
      </c>
      <c r="F57" s="574">
        <v>35</v>
      </c>
      <c r="G57" s="572">
        <f t="shared" si="1"/>
        <v>7766.040889339104</v>
      </c>
    </row>
    <row r="58" spans="1:7" ht="18" customHeight="1">
      <c r="A58" s="565">
        <v>1974</v>
      </c>
      <c r="B58" s="570">
        <v>4621</v>
      </c>
      <c r="C58" s="572">
        <v>247.92391776989248</v>
      </c>
      <c r="D58" s="572">
        <v>649.8511010454429</v>
      </c>
      <c r="E58" s="572">
        <v>170</v>
      </c>
      <c r="F58" s="574">
        <v>34</v>
      </c>
      <c r="G58" s="572">
        <f t="shared" si="1"/>
        <v>5722.775018815336</v>
      </c>
    </row>
    <row r="59" spans="1:7" ht="18" customHeight="1">
      <c r="A59" s="565">
        <v>1975</v>
      </c>
      <c r="B59" s="570">
        <v>7134</v>
      </c>
      <c r="C59" s="572">
        <v>256.91438262580783</v>
      </c>
      <c r="D59" s="572">
        <v>711.2016792135103</v>
      </c>
      <c r="E59" s="572">
        <v>193</v>
      </c>
      <c r="F59" s="574">
        <v>39</v>
      </c>
      <c r="G59" s="572">
        <f t="shared" si="1"/>
        <v>8334.116061839319</v>
      </c>
    </row>
    <row r="60" spans="1:7" ht="18" customHeight="1">
      <c r="A60" s="565">
        <v>1976</v>
      </c>
      <c r="B60" s="570">
        <v>8401</v>
      </c>
      <c r="C60" s="572">
        <v>266.23086870247715</v>
      </c>
      <c r="D60" s="572">
        <v>778.3441894649441</v>
      </c>
      <c r="E60" s="572">
        <v>220</v>
      </c>
      <c r="F60" s="574">
        <v>47</v>
      </c>
      <c r="G60" s="572">
        <f t="shared" si="1"/>
        <v>9712.575058167422</v>
      </c>
    </row>
    <row r="61" spans="1:7" ht="18" customHeight="1">
      <c r="A61" s="565">
        <v>1977</v>
      </c>
      <c r="B61" s="570">
        <v>9258</v>
      </c>
      <c r="C61" s="572">
        <v>275.8851985071996</v>
      </c>
      <c r="D61" s="572">
        <v>851.82543149194</v>
      </c>
      <c r="E61" s="572">
        <v>191</v>
      </c>
      <c r="F61" s="575">
        <v>32</v>
      </c>
      <c r="G61" s="572">
        <f t="shared" si="1"/>
        <v>10608.71062999914</v>
      </c>
    </row>
    <row r="62" spans="1:7" ht="18" customHeight="1">
      <c r="A62" s="565">
        <v>1978</v>
      </c>
      <c r="B62" s="570">
        <v>9310</v>
      </c>
      <c r="C62" s="572">
        <v>285.88962326684833</v>
      </c>
      <c r="D62" s="572">
        <v>932.2438267769845</v>
      </c>
      <c r="E62" s="572">
        <v>234</v>
      </c>
      <c r="F62" s="575">
        <v>39</v>
      </c>
      <c r="G62" s="572">
        <f t="shared" si="1"/>
        <v>10801.133450043833</v>
      </c>
    </row>
    <row r="63" spans="1:7" ht="18" customHeight="1">
      <c r="A63" s="565">
        <v>1979</v>
      </c>
      <c r="B63" s="570">
        <v>9512</v>
      </c>
      <c r="C63" s="572">
        <v>296.2568384745277</v>
      </c>
      <c r="D63" s="572">
        <v>1020.2542920579845</v>
      </c>
      <c r="E63" s="572">
        <v>247.37551848612762</v>
      </c>
      <c r="F63" s="576">
        <v>29.00000000000006</v>
      </c>
      <c r="G63" s="572">
        <f t="shared" si="1"/>
        <v>11104.88664901864</v>
      </c>
    </row>
    <row r="64" spans="1:7" ht="18" customHeight="1">
      <c r="A64" s="565">
        <v>1980</v>
      </c>
      <c r="B64" s="570">
        <v>8680</v>
      </c>
      <c r="C64" s="572">
        <v>307</v>
      </c>
      <c r="D64" s="572">
        <v>1116.5735728832585</v>
      </c>
      <c r="E64" s="572">
        <v>261.51558609521567</v>
      </c>
      <c r="F64" s="576">
        <v>33.32920015744912</v>
      </c>
      <c r="G64" s="572">
        <f t="shared" si="1"/>
        <v>10398.418359135925</v>
      </c>
    </row>
    <row r="65" spans="1:7" ht="18" customHeight="1">
      <c r="A65" s="565">
        <v>1981</v>
      </c>
      <c r="B65" s="570">
        <v>9324</v>
      </c>
      <c r="C65" s="572">
        <v>326</v>
      </c>
      <c r="D65" s="572">
        <v>1221.9860806921547</v>
      </c>
      <c r="E65" s="572">
        <v>276.4639047115706</v>
      </c>
      <c r="F65" s="576">
        <v>38.30467528052774</v>
      </c>
      <c r="G65" s="572">
        <f t="shared" si="1"/>
        <v>11186.754660684253</v>
      </c>
    </row>
    <row r="66" spans="1:7" ht="18" customHeight="1">
      <c r="A66" s="565">
        <v>1982</v>
      </c>
      <c r="B66" s="570">
        <v>9670</v>
      </c>
      <c r="C66" s="572">
        <v>185</v>
      </c>
      <c r="D66" s="572">
        <v>1337.3502809577037</v>
      </c>
      <c r="E66" s="572">
        <v>292.26667423386385</v>
      </c>
      <c r="F66" s="576">
        <v>44.02290308244138</v>
      </c>
      <c r="G66" s="572">
        <f t="shared" si="1"/>
        <v>11528.63985827401</v>
      </c>
    </row>
    <row r="67" spans="1:7" ht="18" customHeight="1">
      <c r="A67" s="565">
        <v>1983</v>
      </c>
      <c r="B67" s="570">
        <v>9936</v>
      </c>
      <c r="C67" s="572">
        <v>492</v>
      </c>
      <c r="D67" s="572">
        <v>1463.6056844154953</v>
      </c>
      <c r="E67" s="572">
        <v>308.97273536247104</v>
      </c>
      <c r="F67" s="576">
        <v>50.59476373609207</v>
      </c>
      <c r="G67" s="572">
        <f t="shared" si="1"/>
        <v>12251.173183514058</v>
      </c>
    </row>
    <row r="68" spans="1:7" ht="18" customHeight="1">
      <c r="A68" s="565">
        <v>1984</v>
      </c>
      <c r="B68" s="570">
        <v>10458</v>
      </c>
      <c r="C68" s="572">
        <v>764</v>
      </c>
      <c r="D68" s="572">
        <v>1601.7804983144126</v>
      </c>
      <c r="E68" s="572">
        <v>326.63372054858274</v>
      </c>
      <c r="F68" s="576">
        <v>58.14768991307095</v>
      </c>
      <c r="G68" s="572">
        <f aca="true" t="shared" si="2" ref="G68:G106">SUM(B68:F68)</f>
        <v>13208.561908776066</v>
      </c>
    </row>
    <row r="69" spans="1:7" ht="18" customHeight="1">
      <c r="A69" s="565">
        <v>1985</v>
      </c>
      <c r="B69" s="570">
        <v>10959</v>
      </c>
      <c r="C69" s="572">
        <v>625</v>
      </c>
      <c r="D69" s="572">
        <v>1753</v>
      </c>
      <c r="E69" s="572">
        <v>345.3042135716179</v>
      </c>
      <c r="F69" s="576">
        <v>66.82813778641459</v>
      </c>
      <c r="G69" s="572">
        <f t="shared" si="2"/>
        <v>13749.132351358034</v>
      </c>
    </row>
    <row r="70" spans="1:7" ht="18" customHeight="1">
      <c r="A70" s="565">
        <v>1986</v>
      </c>
      <c r="B70" s="570">
        <v>12957</v>
      </c>
      <c r="C70" s="572">
        <v>1151</v>
      </c>
      <c r="D70" s="572">
        <v>1623</v>
      </c>
      <c r="E70" s="572">
        <v>365.04191823813466</v>
      </c>
      <c r="F70" s="576">
        <v>76.80442691148262</v>
      </c>
      <c r="G70" s="572">
        <f t="shared" si="2"/>
        <v>16172.846345149617</v>
      </c>
    </row>
    <row r="71" spans="1:7" ht="18" customHeight="1">
      <c r="A71" s="565">
        <v>1987</v>
      </c>
      <c r="B71" s="570">
        <v>10988</v>
      </c>
      <c r="C71" s="572">
        <v>1739</v>
      </c>
      <c r="D71" s="572">
        <v>1589</v>
      </c>
      <c r="E71" s="572">
        <v>385.90783672362886</v>
      </c>
      <c r="F71" s="576">
        <v>88.27000405210246</v>
      </c>
      <c r="G71" s="572">
        <f t="shared" si="2"/>
        <v>14790.177840775732</v>
      </c>
    </row>
    <row r="72" spans="1:7" ht="18" customHeight="1">
      <c r="A72" s="565">
        <v>1988</v>
      </c>
      <c r="B72" s="570">
        <v>11852</v>
      </c>
      <c r="C72" s="572">
        <v>1384</v>
      </c>
      <c r="D72" s="572">
        <v>1598</v>
      </c>
      <c r="E72" s="572">
        <v>407.96645810840846</v>
      </c>
      <c r="F72" s="576">
        <v>101.44719423970213</v>
      </c>
      <c r="G72" s="572">
        <f t="shared" si="2"/>
        <v>15343.41365234811</v>
      </c>
    </row>
    <row r="73" spans="1:7" ht="18" customHeight="1">
      <c r="A73" s="565">
        <v>1989</v>
      </c>
      <c r="B73" s="570">
        <v>11393</v>
      </c>
      <c r="C73" s="572">
        <v>817</v>
      </c>
      <c r="D73" s="572">
        <v>1611</v>
      </c>
      <c r="E73" s="572">
        <v>431.28595769024184</v>
      </c>
      <c r="F73" s="576">
        <v>116.59151180091881</v>
      </c>
      <c r="G73" s="572">
        <f t="shared" si="2"/>
        <v>14368.877469491159</v>
      </c>
    </row>
    <row r="74" spans="1:7" ht="18" customHeight="1">
      <c r="A74" s="565">
        <v>1990</v>
      </c>
      <c r="B74" s="570">
        <v>10678</v>
      </c>
      <c r="C74" s="572">
        <v>715</v>
      </c>
      <c r="D74" s="572">
        <v>1548</v>
      </c>
      <c r="E74" s="572">
        <v>455.9384076897849</v>
      </c>
      <c r="F74" s="576">
        <v>133.99661494732436</v>
      </c>
      <c r="G74" s="572">
        <f t="shared" si="2"/>
        <v>13530.935022637108</v>
      </c>
    </row>
    <row r="75" spans="1:7" ht="18" customHeight="1">
      <c r="A75" s="565">
        <v>1991</v>
      </c>
      <c r="B75" s="570">
        <v>9891</v>
      </c>
      <c r="C75" s="572">
        <v>675</v>
      </c>
      <c r="D75" s="572">
        <v>1656</v>
      </c>
      <c r="E75" s="572">
        <v>482</v>
      </c>
      <c r="F75" s="576">
        <v>154</v>
      </c>
      <c r="G75" s="572">
        <f t="shared" si="2"/>
        <v>12858</v>
      </c>
    </row>
    <row r="76" spans="1:7" ht="18" customHeight="1">
      <c r="A76" s="565">
        <v>1992</v>
      </c>
      <c r="B76" s="570">
        <v>10354</v>
      </c>
      <c r="C76" s="572">
        <v>252</v>
      </c>
      <c r="D76" s="572">
        <v>1595</v>
      </c>
      <c r="E76" s="577">
        <v>481</v>
      </c>
      <c r="F76" s="577">
        <v>158</v>
      </c>
      <c r="G76" s="572">
        <f t="shared" si="2"/>
        <v>12840</v>
      </c>
    </row>
    <row r="77" spans="1:7" ht="18" customHeight="1">
      <c r="A77" s="565">
        <v>1993</v>
      </c>
      <c r="B77" s="570">
        <v>13330</v>
      </c>
      <c r="C77" s="572">
        <v>685</v>
      </c>
      <c r="D77" s="572">
        <v>972</v>
      </c>
      <c r="E77" s="577">
        <v>488</v>
      </c>
      <c r="F77" s="577">
        <v>146</v>
      </c>
      <c r="G77" s="572">
        <f t="shared" si="2"/>
        <v>15621</v>
      </c>
    </row>
    <row r="78" spans="1:7" ht="18" customHeight="1">
      <c r="A78" s="565">
        <v>1994</v>
      </c>
      <c r="B78" s="570">
        <v>11578</v>
      </c>
      <c r="C78" s="572">
        <v>546</v>
      </c>
      <c r="D78" s="572">
        <v>1019</v>
      </c>
      <c r="E78" s="577">
        <v>541</v>
      </c>
      <c r="F78" s="577">
        <v>159</v>
      </c>
      <c r="G78" s="572">
        <f t="shared" si="2"/>
        <v>13843</v>
      </c>
    </row>
    <row r="79" spans="1:7" ht="18" customHeight="1">
      <c r="A79" s="565">
        <v>1995</v>
      </c>
      <c r="B79" s="570">
        <v>12023</v>
      </c>
      <c r="C79" s="572">
        <v>602</v>
      </c>
      <c r="D79" s="572">
        <v>1317</v>
      </c>
      <c r="E79" s="577">
        <v>671</v>
      </c>
      <c r="F79" s="577">
        <v>229</v>
      </c>
      <c r="G79" s="572">
        <f t="shared" si="2"/>
        <v>14842</v>
      </c>
    </row>
    <row r="80" spans="1:7" ht="18" customHeight="1">
      <c r="A80" s="565">
        <v>1996</v>
      </c>
      <c r="B80" s="570">
        <v>12083</v>
      </c>
      <c r="C80" s="572">
        <v>530</v>
      </c>
      <c r="D80" s="572">
        <v>1960</v>
      </c>
      <c r="E80" s="577">
        <v>808</v>
      </c>
      <c r="F80" s="577">
        <v>276</v>
      </c>
      <c r="G80" s="572">
        <f t="shared" si="2"/>
        <v>15657</v>
      </c>
    </row>
    <row r="81" spans="1:7" ht="18" customHeight="1">
      <c r="A81" s="565">
        <v>1997</v>
      </c>
      <c r="B81" s="570">
        <v>13542</v>
      </c>
      <c r="C81" s="572">
        <v>926</v>
      </c>
      <c r="D81" s="572">
        <v>1310</v>
      </c>
      <c r="E81" s="577">
        <v>890</v>
      </c>
      <c r="F81" s="577">
        <v>282</v>
      </c>
      <c r="G81" s="572">
        <f t="shared" si="2"/>
        <v>16950</v>
      </c>
    </row>
    <row r="82" spans="1:7" ht="18" customHeight="1">
      <c r="A82" s="565">
        <v>1998</v>
      </c>
      <c r="B82" s="570">
        <v>12008</v>
      </c>
      <c r="C82" s="572">
        <v>291</v>
      </c>
      <c r="D82" s="572">
        <v>1512</v>
      </c>
      <c r="E82" s="577">
        <v>927</v>
      </c>
      <c r="F82" s="577">
        <v>370</v>
      </c>
      <c r="G82" s="572">
        <f t="shared" si="2"/>
        <v>15108</v>
      </c>
    </row>
    <row r="83" spans="1:7" ht="18" customHeight="1">
      <c r="A83" s="565">
        <v>1999</v>
      </c>
      <c r="B83" s="570">
        <v>6632</v>
      </c>
      <c r="C83" s="572">
        <v>28</v>
      </c>
      <c r="D83" s="572">
        <v>785</v>
      </c>
      <c r="E83" s="578">
        <v>653</v>
      </c>
      <c r="F83" s="578">
        <v>247</v>
      </c>
      <c r="G83" s="572">
        <f t="shared" si="2"/>
        <v>8345</v>
      </c>
    </row>
    <row r="84" spans="1:7" ht="18" customHeight="1">
      <c r="A84" s="565">
        <v>2000</v>
      </c>
      <c r="B84" s="570">
        <v>10929</v>
      </c>
      <c r="C84" s="572">
        <v>343</v>
      </c>
      <c r="D84" s="572">
        <v>1584</v>
      </c>
      <c r="E84" s="578">
        <v>988</v>
      </c>
      <c r="F84" s="578">
        <v>443</v>
      </c>
      <c r="G84" s="572">
        <f t="shared" si="2"/>
        <v>14287</v>
      </c>
    </row>
    <row r="85" spans="1:7" ht="18" customHeight="1">
      <c r="A85" s="565">
        <v>2001</v>
      </c>
      <c r="B85" s="570">
        <v>13341</v>
      </c>
      <c r="C85" s="572">
        <v>736</v>
      </c>
      <c r="D85" s="571">
        <v>2932</v>
      </c>
      <c r="E85" s="570">
        <v>1134</v>
      </c>
      <c r="F85" s="578">
        <v>396</v>
      </c>
      <c r="G85" s="572">
        <f t="shared" si="2"/>
        <v>18539</v>
      </c>
    </row>
    <row r="86" spans="1:7" ht="18" customHeight="1">
      <c r="A86" s="565">
        <v>2002</v>
      </c>
      <c r="B86" s="570">
        <v>13344</v>
      </c>
      <c r="C86" s="572">
        <v>284</v>
      </c>
      <c r="D86" s="571">
        <v>2710</v>
      </c>
      <c r="E86" s="570">
        <v>1214</v>
      </c>
      <c r="F86" s="578">
        <v>440</v>
      </c>
      <c r="G86" s="572">
        <f t="shared" si="2"/>
        <v>17992</v>
      </c>
    </row>
    <row r="87" spans="1:7" ht="18" customHeight="1">
      <c r="A87" s="565">
        <v>2003</v>
      </c>
      <c r="B87" s="570">
        <v>13320</v>
      </c>
      <c r="C87" s="572">
        <v>233</v>
      </c>
      <c r="D87" s="571">
        <v>2315</v>
      </c>
      <c r="E87" s="570">
        <v>1162</v>
      </c>
      <c r="F87" s="578">
        <v>427</v>
      </c>
      <c r="G87" s="572">
        <f t="shared" si="2"/>
        <v>17457</v>
      </c>
    </row>
    <row r="88" spans="1:7" ht="18" customHeight="1">
      <c r="A88" s="565">
        <v>2004</v>
      </c>
      <c r="B88" s="570">
        <v>12560</v>
      </c>
      <c r="C88" s="566">
        <v>301</v>
      </c>
      <c r="D88" s="571">
        <v>2806</v>
      </c>
      <c r="E88" s="570">
        <v>1647</v>
      </c>
      <c r="F88" s="562">
        <v>478</v>
      </c>
      <c r="G88" s="572">
        <f t="shared" si="2"/>
        <v>17792</v>
      </c>
    </row>
    <row r="89" spans="1:7" ht="18" customHeight="1">
      <c r="A89" s="565">
        <v>2005</v>
      </c>
      <c r="B89" s="570">
        <v>13099</v>
      </c>
      <c r="C89" s="566">
        <v>250</v>
      </c>
      <c r="D89" s="571">
        <v>2679</v>
      </c>
      <c r="E89" s="570">
        <v>1945</v>
      </c>
      <c r="F89" s="562">
        <v>540</v>
      </c>
      <c r="G89" s="572">
        <f t="shared" si="2"/>
        <v>18513</v>
      </c>
    </row>
    <row r="90" spans="1:7" ht="18" customHeight="1">
      <c r="A90" s="565">
        <v>2006</v>
      </c>
      <c r="B90" s="570">
        <v>13221</v>
      </c>
      <c r="C90" s="566">
        <v>332</v>
      </c>
      <c r="D90" s="571">
        <v>2856</v>
      </c>
      <c r="E90" s="570">
        <v>2018</v>
      </c>
      <c r="F90" s="562">
        <v>532</v>
      </c>
      <c r="G90" s="572">
        <f t="shared" si="2"/>
        <v>18959</v>
      </c>
    </row>
    <row r="91" spans="1:7" ht="18" customHeight="1">
      <c r="A91" s="565">
        <v>2007</v>
      </c>
      <c r="B91" s="570">
        <v>15442</v>
      </c>
      <c r="C91" s="566">
        <v>150</v>
      </c>
      <c r="D91" s="571">
        <v>3144</v>
      </c>
      <c r="E91" s="570">
        <v>1891</v>
      </c>
      <c r="F91" s="562">
        <v>607</v>
      </c>
      <c r="G91" s="572">
        <f t="shared" si="2"/>
        <v>21234</v>
      </c>
    </row>
    <row r="92" spans="1:7" ht="18" customHeight="1">
      <c r="A92" s="565">
        <v>2008</v>
      </c>
      <c r="B92" s="570">
        <v>17060</v>
      </c>
      <c r="C92" s="566">
        <v>687</v>
      </c>
      <c r="D92" s="571">
        <v>3492</v>
      </c>
      <c r="E92" s="570">
        <v>2021</v>
      </c>
      <c r="F92" s="562">
        <v>608</v>
      </c>
      <c r="G92" s="572">
        <f t="shared" si="2"/>
        <v>23868</v>
      </c>
    </row>
    <row r="93" spans="1:7" ht="18" customHeight="1">
      <c r="A93" s="565">
        <v>2009</v>
      </c>
      <c r="B93" s="570">
        <v>16970</v>
      </c>
      <c r="C93" s="566">
        <v>106</v>
      </c>
      <c r="D93" s="570">
        <v>3497</v>
      </c>
      <c r="E93" s="570">
        <v>2450</v>
      </c>
      <c r="F93" s="562">
        <v>652</v>
      </c>
      <c r="G93" s="572">
        <f t="shared" si="2"/>
        <v>23675</v>
      </c>
    </row>
    <row r="94" spans="1:7" ht="18" customHeight="1">
      <c r="A94" s="565">
        <v>2010</v>
      </c>
      <c r="B94" s="570">
        <v>18598</v>
      </c>
      <c r="C94" s="566">
        <v>116</v>
      </c>
      <c r="D94" s="570">
        <v>3736</v>
      </c>
      <c r="E94" s="570">
        <v>2681</v>
      </c>
      <c r="F94" s="562">
        <v>638</v>
      </c>
      <c r="G94" s="572">
        <f>SUM(B94:F94)</f>
        <v>25769</v>
      </c>
    </row>
    <row r="95" spans="1:7" ht="18" customHeight="1">
      <c r="A95" s="565">
        <v>2011</v>
      </c>
      <c r="B95" s="570">
        <v>18072</v>
      </c>
      <c r="C95" s="566">
        <v>413</v>
      </c>
      <c r="D95" s="570">
        <v>3922</v>
      </c>
      <c r="E95" s="570">
        <v>2882</v>
      </c>
      <c r="F95" s="562">
        <v>678</v>
      </c>
      <c r="G95" s="572">
        <f t="shared" si="2"/>
        <v>25967</v>
      </c>
    </row>
    <row r="96" spans="1:7" ht="18" customHeight="1">
      <c r="A96" s="565">
        <v>2012</v>
      </c>
      <c r="B96" s="570">
        <v>19671</v>
      </c>
      <c r="C96" s="566">
        <v>160</v>
      </c>
      <c r="D96" s="570">
        <v>3925</v>
      </c>
      <c r="E96" s="570">
        <v>2690</v>
      </c>
      <c r="F96" s="562">
        <v>731</v>
      </c>
      <c r="G96" s="572">
        <f t="shared" si="2"/>
        <v>27177</v>
      </c>
    </row>
    <row r="97" spans="1:7" ht="18" customHeight="1">
      <c r="A97" s="565">
        <v>2013</v>
      </c>
      <c r="B97" s="570">
        <v>20372</v>
      </c>
      <c r="C97" s="566">
        <v>79</v>
      </c>
      <c r="D97" s="570">
        <v>4109</v>
      </c>
      <c r="E97" s="570">
        <v>3110</v>
      </c>
      <c r="F97" s="562">
        <v>742</v>
      </c>
      <c r="G97" s="572">
        <f t="shared" si="2"/>
        <v>28412</v>
      </c>
    </row>
    <row r="98" spans="1:7" ht="18" customHeight="1">
      <c r="A98" s="565">
        <v>2014</v>
      </c>
      <c r="B98" s="570">
        <v>21734</v>
      </c>
      <c r="C98" s="579">
        <v>67</v>
      </c>
      <c r="D98" s="570">
        <v>4807</v>
      </c>
      <c r="E98" s="570">
        <v>3057</v>
      </c>
      <c r="F98" s="562">
        <v>812</v>
      </c>
      <c r="G98" s="572">
        <f t="shared" si="2"/>
        <v>30477</v>
      </c>
    </row>
    <row r="99" spans="1:7" ht="18" customHeight="1">
      <c r="A99" s="565">
        <v>2015</v>
      </c>
      <c r="B99" s="570">
        <v>23012</v>
      </c>
      <c r="C99" s="579">
        <v>35</v>
      </c>
      <c r="D99" s="570">
        <v>5087</v>
      </c>
      <c r="E99" s="570">
        <v>3147</v>
      </c>
      <c r="F99" s="562">
        <v>867</v>
      </c>
      <c r="G99" s="572">
        <f t="shared" si="2"/>
        <v>32148</v>
      </c>
    </row>
    <row r="100" spans="1:7" s="566" customFormat="1" ht="18" customHeight="1">
      <c r="A100" s="580">
        <v>2016</v>
      </c>
      <c r="B100" s="571">
        <v>24405</v>
      </c>
      <c r="C100" s="579">
        <v>58</v>
      </c>
      <c r="D100" s="571">
        <v>5327</v>
      </c>
      <c r="E100" s="571">
        <v>3561</v>
      </c>
      <c r="F100" s="566">
        <v>868</v>
      </c>
      <c r="G100" s="572">
        <f t="shared" si="2"/>
        <v>34219</v>
      </c>
    </row>
    <row r="101" spans="1:7" s="566" customFormat="1" ht="18" customHeight="1">
      <c r="A101" s="580">
        <v>2017</v>
      </c>
      <c r="B101" s="571">
        <v>22766</v>
      </c>
      <c r="C101" s="579">
        <v>49</v>
      </c>
      <c r="D101" s="571">
        <v>5240</v>
      </c>
      <c r="E101" s="571">
        <v>3284</v>
      </c>
      <c r="F101" s="566">
        <v>945</v>
      </c>
      <c r="G101" s="572">
        <f t="shared" si="2"/>
        <v>32284</v>
      </c>
    </row>
    <row r="102" spans="1:7" s="566" customFormat="1" ht="18" customHeight="1">
      <c r="A102" s="580">
        <v>2018</v>
      </c>
      <c r="B102" s="571">
        <v>23805</v>
      </c>
      <c r="C102" s="579">
        <v>38</v>
      </c>
      <c r="D102" s="571">
        <v>5630</v>
      </c>
      <c r="E102" s="571">
        <v>3345</v>
      </c>
      <c r="F102" s="566">
        <v>975</v>
      </c>
      <c r="G102" s="572">
        <f t="shared" si="2"/>
        <v>33793</v>
      </c>
    </row>
    <row r="103" spans="1:7" s="566" customFormat="1" ht="18" customHeight="1">
      <c r="A103" s="580">
        <v>2019</v>
      </c>
      <c r="B103" s="571">
        <v>22703</v>
      </c>
      <c r="C103" s="579">
        <v>32</v>
      </c>
      <c r="D103" s="571">
        <v>5581</v>
      </c>
      <c r="E103" s="571">
        <v>3689</v>
      </c>
      <c r="F103" s="566">
        <v>892</v>
      </c>
      <c r="G103" s="572">
        <f>SUM(B103:F103)</f>
        <v>32897</v>
      </c>
    </row>
    <row r="104" spans="1:7" s="566" customFormat="1" ht="18" customHeight="1">
      <c r="A104" s="580">
        <v>2020</v>
      </c>
      <c r="B104" s="571">
        <v>7938</v>
      </c>
      <c r="C104" s="579">
        <v>1</v>
      </c>
      <c r="D104" s="571">
        <v>4543</v>
      </c>
      <c r="E104" s="571">
        <v>2194</v>
      </c>
      <c r="F104" s="566">
        <v>711</v>
      </c>
      <c r="G104" s="572">
        <f>SUM(B104:F104)</f>
        <v>15387</v>
      </c>
    </row>
    <row r="105" spans="1:7" s="566" customFormat="1" ht="18" customHeight="1">
      <c r="A105" s="580">
        <v>2021</v>
      </c>
      <c r="B105" s="571">
        <f>+titulación!W9</f>
        <v>19778</v>
      </c>
      <c r="C105" s="1045">
        <f>+titulación!W8</f>
        <v>0</v>
      </c>
      <c r="D105" s="571">
        <f>+titulación!W18</f>
        <v>7736</v>
      </c>
      <c r="E105" s="571">
        <f>+titulación!W23</f>
        <v>2771</v>
      </c>
      <c r="F105" s="571">
        <f>+titulación!W25</f>
        <v>840</v>
      </c>
      <c r="G105" s="572">
        <f>SUM(B105:F105)</f>
        <v>31125</v>
      </c>
    </row>
    <row r="106" spans="1:7" s="790" customFormat="1" ht="18" customHeight="1">
      <c r="A106" s="788">
        <v>2022</v>
      </c>
      <c r="B106" s="789">
        <f>titulación!X9</f>
        <v>30830</v>
      </c>
      <c r="C106" s="972">
        <f>titulación!X8</f>
        <v>16</v>
      </c>
      <c r="D106" s="789">
        <f>titulación!X18</f>
        <v>5091</v>
      </c>
      <c r="E106" s="789">
        <f>titulación!X23</f>
        <v>3162</v>
      </c>
      <c r="F106" s="789">
        <f>titulación!X25</f>
        <v>930</v>
      </c>
      <c r="G106" s="791">
        <f t="shared" si="2"/>
        <v>40029</v>
      </c>
    </row>
    <row r="107" ht="18" customHeight="1">
      <c r="G107" s="789">
        <f>SUM(G8:G106)</f>
        <v>1013059.902277</v>
      </c>
    </row>
    <row r="108" spans="1:7" s="582" customFormat="1" ht="11.25">
      <c r="A108" s="581" t="s">
        <v>461</v>
      </c>
      <c r="C108" s="583"/>
      <c r="D108" s="583"/>
      <c r="G108" s="583"/>
    </row>
    <row r="109" spans="3:7" s="582" customFormat="1" ht="11.25">
      <c r="C109" s="583"/>
      <c r="D109" s="583"/>
      <c r="G109" s="583"/>
    </row>
    <row r="110" spans="1:6" s="583" customFormat="1" ht="12" customHeight="1">
      <c r="A110" s="584" t="s">
        <v>745</v>
      </c>
      <c r="B110" s="133"/>
      <c r="D110" s="585"/>
      <c r="E110" s="134"/>
      <c r="F110" s="133"/>
    </row>
    <row r="111" spans="1:2" s="583" customFormat="1" ht="11.25">
      <c r="A111" s="584" t="s">
        <v>462</v>
      </c>
      <c r="B111" s="135"/>
    </row>
    <row r="112" spans="1:5" s="583" customFormat="1" ht="12" customHeight="1">
      <c r="A112" s="586" t="s">
        <v>463</v>
      </c>
      <c r="B112" s="133"/>
      <c r="D112" s="133"/>
      <c r="E112" s="133"/>
    </row>
    <row r="113" spans="1:5" s="583" customFormat="1" ht="12" customHeight="1">
      <c r="A113" s="586" t="s">
        <v>743</v>
      </c>
      <c r="B113" s="133"/>
      <c r="D113" s="133"/>
      <c r="E113" s="133"/>
    </row>
    <row r="114" ht="12.75">
      <c r="A114" s="586" t="s">
        <v>744</v>
      </c>
    </row>
  </sheetData>
  <sheetProtection/>
  <mergeCells count="37">
    <mergeCell ref="C32:F32"/>
    <mergeCell ref="C33:F33"/>
    <mergeCell ref="C34:F34"/>
    <mergeCell ref="C35:F35"/>
    <mergeCell ref="C26:F26"/>
    <mergeCell ref="C27:F27"/>
    <mergeCell ref="C28:F28"/>
    <mergeCell ref="C29:F29"/>
    <mergeCell ref="C30:F30"/>
    <mergeCell ref="C31:F31"/>
    <mergeCell ref="C25:F25"/>
    <mergeCell ref="C14:F14"/>
    <mergeCell ref="C15:F15"/>
    <mergeCell ref="C16:F16"/>
    <mergeCell ref="C17:F17"/>
    <mergeCell ref="C18:F18"/>
    <mergeCell ref="C19:F19"/>
    <mergeCell ref="C20:F20"/>
    <mergeCell ref="C21:F21"/>
    <mergeCell ref="C22:F22"/>
    <mergeCell ref="C23:F23"/>
    <mergeCell ref="C24:F24"/>
    <mergeCell ref="C13:F13"/>
    <mergeCell ref="A1:G1"/>
    <mergeCell ref="A2:G2"/>
    <mergeCell ref="A3:G3"/>
    <mergeCell ref="A4:G4"/>
    <mergeCell ref="A6:A7"/>
    <mergeCell ref="B6:B7"/>
    <mergeCell ref="C6:C7"/>
    <mergeCell ref="D6:F6"/>
    <mergeCell ref="G6:G7"/>
    <mergeCell ref="C8:F8"/>
    <mergeCell ref="C9:F9"/>
    <mergeCell ref="C10:F10"/>
    <mergeCell ref="C11:F11"/>
    <mergeCell ref="C12:F12"/>
  </mergeCells>
  <printOptions horizontalCentered="1"/>
  <pageMargins left="0.7000000000000001" right="0.7000000000000001" top="0.7500000000000001" bottom="0.7500000000000001" header="0.30000000000000004" footer="0.30000000000000004"/>
  <pageSetup fitToHeight="2" fitToWidth="1" orientation="portrait" scale="76"/>
</worksheet>
</file>

<file path=xl/worksheets/sheet51.xml><?xml version="1.0" encoding="utf-8"?>
<worksheet xmlns="http://schemas.openxmlformats.org/spreadsheetml/2006/main" xmlns:r="http://schemas.openxmlformats.org/officeDocument/2006/relationships">
  <sheetPr>
    <tabColor rgb="FF660066"/>
    <pageSetUpPr fitToPage="1"/>
  </sheetPr>
  <dimension ref="A1:H57"/>
  <sheetViews>
    <sheetView zoomScalePageLayoutView="0" workbookViewId="0" topLeftCell="A1">
      <pane ySplit="6" topLeftCell="A7" activePane="bottomLeft" state="frozen"/>
      <selection pane="topLeft" activeCell="A1" sqref="A1:H1"/>
      <selection pane="bottomLeft" activeCell="G54" sqref="G54"/>
    </sheetView>
  </sheetViews>
  <sheetFormatPr defaultColWidth="10.8515625" defaultRowHeight="12.75"/>
  <cols>
    <col min="1" max="1" width="10.7109375" style="127" customWidth="1"/>
    <col min="2" max="7" width="14.8515625" style="39" customWidth="1"/>
    <col min="8" max="8" width="14.8515625" style="5" customWidth="1"/>
    <col min="9" max="16384" width="10.8515625" style="17" customWidth="1"/>
  </cols>
  <sheetData>
    <row r="1" spans="1:8" ht="12.75">
      <c r="A1" s="1221" t="s">
        <v>678</v>
      </c>
      <c r="B1" s="1222"/>
      <c r="C1" s="1222"/>
      <c r="D1" s="1222"/>
      <c r="E1" s="1222"/>
      <c r="F1" s="1222"/>
      <c r="G1" s="1222"/>
      <c r="H1" s="1222"/>
    </row>
    <row r="2" spans="1:8" ht="12.75">
      <c r="A2" s="1222"/>
      <c r="B2" s="1222"/>
      <c r="C2" s="1222"/>
      <c r="D2" s="1222"/>
      <c r="E2" s="1222"/>
      <c r="F2" s="1222"/>
      <c r="G2" s="1222"/>
      <c r="H2" s="1222"/>
    </row>
    <row r="3" spans="1:8" ht="18" customHeight="1">
      <c r="A3" s="1223" t="s">
        <v>470</v>
      </c>
      <c r="B3" s="1223"/>
      <c r="C3" s="1223"/>
      <c r="D3" s="1223"/>
      <c r="E3" s="1223"/>
      <c r="F3" s="1223"/>
      <c r="G3" s="1223"/>
      <c r="H3" s="1223"/>
    </row>
    <row r="4" spans="1:8" ht="18" customHeight="1">
      <c r="A4" s="1224" t="s">
        <v>814</v>
      </c>
      <c r="B4" s="1224"/>
      <c r="C4" s="1224"/>
      <c r="D4" s="1224"/>
      <c r="E4" s="1224"/>
      <c r="F4" s="1224"/>
      <c r="G4" s="1224"/>
      <c r="H4" s="1224"/>
    </row>
    <row r="6" spans="1:8" s="351" customFormat="1" ht="30" customHeight="1">
      <c r="A6" s="350" t="s">
        <v>471</v>
      </c>
      <c r="B6" s="350" t="s">
        <v>472</v>
      </c>
      <c r="C6" s="350" t="s">
        <v>473</v>
      </c>
      <c r="D6" s="350" t="s">
        <v>474</v>
      </c>
      <c r="E6" s="350" t="s">
        <v>475</v>
      </c>
      <c r="F6" s="350" t="s">
        <v>476</v>
      </c>
      <c r="G6" s="350" t="s">
        <v>477</v>
      </c>
      <c r="H6" s="350" t="s">
        <v>478</v>
      </c>
    </row>
    <row r="7" spans="1:8" ht="18" customHeight="1">
      <c r="A7" s="347" t="s">
        <v>479</v>
      </c>
      <c r="B7" s="14">
        <v>43916</v>
      </c>
      <c r="C7" s="14">
        <f aca="true" t="shared" si="0" ref="C7:C44">D7+E7+F7</f>
        <v>30570</v>
      </c>
      <c r="D7" s="14">
        <v>18731</v>
      </c>
      <c r="E7" s="14">
        <v>10866</v>
      </c>
      <c r="F7" s="14">
        <v>973</v>
      </c>
      <c r="G7" s="14">
        <v>40843</v>
      </c>
      <c r="H7" s="14">
        <v>30322</v>
      </c>
    </row>
    <row r="8" spans="1:8" ht="18" customHeight="1">
      <c r="A8" s="347" t="s">
        <v>480</v>
      </c>
      <c r="B8" s="14">
        <v>48112</v>
      </c>
      <c r="C8" s="14">
        <f t="shared" si="0"/>
        <v>32502</v>
      </c>
      <c r="D8" s="14">
        <v>20139</v>
      </c>
      <c r="E8" s="14">
        <v>11361</v>
      </c>
      <c r="F8" s="14">
        <v>1002</v>
      </c>
      <c r="G8" s="14">
        <v>40992</v>
      </c>
      <c r="H8" s="14">
        <v>32961</v>
      </c>
    </row>
    <row r="9" spans="1:8" ht="18" customHeight="1">
      <c r="A9" s="347" t="s">
        <v>481</v>
      </c>
      <c r="B9" s="14">
        <v>61816</v>
      </c>
      <c r="C9" s="14">
        <f t="shared" si="0"/>
        <v>33089</v>
      </c>
      <c r="D9" s="14">
        <v>17561</v>
      </c>
      <c r="E9" s="14">
        <v>14829</v>
      </c>
      <c r="F9" s="14">
        <v>699</v>
      </c>
      <c r="G9" s="14">
        <v>41655</v>
      </c>
      <c r="H9" s="14">
        <v>37384</v>
      </c>
    </row>
    <row r="10" spans="1:8" ht="18" customHeight="1">
      <c r="A10" s="347" t="s">
        <v>482</v>
      </c>
      <c r="B10" s="14">
        <v>69789</v>
      </c>
      <c r="C10" s="14">
        <f t="shared" si="0"/>
        <v>36636</v>
      </c>
      <c r="D10" s="14">
        <v>17951</v>
      </c>
      <c r="E10" s="14">
        <v>18074</v>
      </c>
      <c r="F10" s="14">
        <v>611</v>
      </c>
      <c r="G10" s="14">
        <v>41207</v>
      </c>
      <c r="H10" s="14">
        <v>38126</v>
      </c>
    </row>
    <row r="11" spans="1:8" ht="18" customHeight="1">
      <c r="A11" s="347" t="s">
        <v>483</v>
      </c>
      <c r="B11" s="14">
        <v>66231</v>
      </c>
      <c r="C11" s="14">
        <f t="shared" si="0"/>
        <v>38830</v>
      </c>
      <c r="D11" s="14">
        <v>19765</v>
      </c>
      <c r="E11" s="14">
        <v>18388</v>
      </c>
      <c r="F11" s="14">
        <v>677</v>
      </c>
      <c r="G11" s="14">
        <v>40574</v>
      </c>
      <c r="H11" s="14">
        <v>37511</v>
      </c>
    </row>
    <row r="12" spans="1:8" ht="18" customHeight="1">
      <c r="A12" s="347" t="s">
        <v>484</v>
      </c>
      <c r="B12" s="14">
        <v>66576</v>
      </c>
      <c r="C12" s="14">
        <f t="shared" si="0"/>
        <v>39005</v>
      </c>
      <c r="D12" s="14">
        <v>19734</v>
      </c>
      <c r="E12" s="14">
        <v>17925</v>
      </c>
      <c r="F12" s="14">
        <v>1346</v>
      </c>
      <c r="G12" s="14">
        <v>40574</v>
      </c>
      <c r="H12" s="14">
        <v>32300</v>
      </c>
    </row>
    <row r="13" spans="1:8" ht="18" customHeight="1">
      <c r="A13" s="347" t="s">
        <v>485</v>
      </c>
      <c r="B13" s="14">
        <v>66755</v>
      </c>
      <c r="C13" s="14">
        <f t="shared" si="0"/>
        <v>40658</v>
      </c>
      <c r="D13" s="14">
        <v>20220</v>
      </c>
      <c r="E13" s="14">
        <v>18324</v>
      </c>
      <c r="F13" s="14">
        <v>2114</v>
      </c>
      <c r="G13" s="14">
        <v>39774</v>
      </c>
      <c r="H13" s="14">
        <v>32487</v>
      </c>
    </row>
    <row r="14" spans="1:8" ht="18" customHeight="1">
      <c r="A14" s="347" t="s">
        <v>486</v>
      </c>
      <c r="B14" s="14">
        <v>69549</v>
      </c>
      <c r="C14" s="14">
        <f t="shared" si="0"/>
        <v>42997</v>
      </c>
      <c r="D14" s="14">
        <v>20469</v>
      </c>
      <c r="E14" s="14">
        <v>20806</v>
      </c>
      <c r="F14" s="14">
        <v>1722</v>
      </c>
      <c r="G14" s="14">
        <v>40385</v>
      </c>
      <c r="H14" s="14">
        <v>31775</v>
      </c>
    </row>
    <row r="15" spans="1:8" ht="18" customHeight="1">
      <c r="A15" s="347" t="s">
        <v>487</v>
      </c>
      <c r="B15" s="14">
        <v>74961</v>
      </c>
      <c r="C15" s="14">
        <f t="shared" si="0"/>
        <v>45144</v>
      </c>
      <c r="D15" s="14">
        <v>21296</v>
      </c>
      <c r="E15" s="14">
        <v>22319</v>
      </c>
      <c r="F15" s="14">
        <v>1529</v>
      </c>
      <c r="G15" s="14">
        <v>39459</v>
      </c>
      <c r="H15" s="14">
        <v>31947</v>
      </c>
    </row>
    <row r="16" spans="1:8" ht="18" customHeight="1">
      <c r="A16" s="347" t="s">
        <v>488</v>
      </c>
      <c r="B16" s="14">
        <v>83882</v>
      </c>
      <c r="C16" s="14">
        <f t="shared" si="0"/>
        <v>48548</v>
      </c>
      <c r="D16" s="14">
        <v>22095</v>
      </c>
      <c r="E16" s="14">
        <v>24327</v>
      </c>
      <c r="F16" s="14">
        <v>2126</v>
      </c>
      <c r="G16" s="14">
        <v>39744</v>
      </c>
      <c r="H16" s="14">
        <v>32806</v>
      </c>
    </row>
    <row r="17" spans="1:8" ht="18" customHeight="1">
      <c r="A17" s="347" t="s">
        <v>489</v>
      </c>
      <c r="B17" s="14">
        <v>86092</v>
      </c>
      <c r="C17" s="14">
        <f t="shared" si="0"/>
        <v>50385</v>
      </c>
      <c r="D17" s="14">
        <v>21383</v>
      </c>
      <c r="E17" s="14">
        <v>26765</v>
      </c>
      <c r="F17" s="14">
        <v>2237</v>
      </c>
      <c r="G17" s="14">
        <v>39805</v>
      </c>
      <c r="H17" s="14">
        <v>30816</v>
      </c>
    </row>
    <row r="18" spans="1:8" ht="18" customHeight="1">
      <c r="A18" s="347" t="s">
        <v>490</v>
      </c>
      <c r="B18" s="14">
        <v>82654</v>
      </c>
      <c r="C18" s="14">
        <f t="shared" si="0"/>
        <v>47857</v>
      </c>
      <c r="D18" s="14">
        <v>20578</v>
      </c>
      <c r="E18" s="14">
        <v>25038</v>
      </c>
      <c r="F18" s="14">
        <v>2241</v>
      </c>
      <c r="G18" s="14">
        <v>39163</v>
      </c>
      <c r="H18" s="14">
        <v>31015</v>
      </c>
    </row>
    <row r="19" spans="1:8" ht="18" customHeight="1">
      <c r="A19" s="347" t="s">
        <v>491</v>
      </c>
      <c r="B19" s="14">
        <v>86533</v>
      </c>
      <c r="C19" s="14">
        <f t="shared" si="0"/>
        <v>43655</v>
      </c>
      <c r="D19" s="14">
        <v>19631</v>
      </c>
      <c r="E19" s="14">
        <v>21433</v>
      </c>
      <c r="F19" s="14">
        <v>2591</v>
      </c>
      <c r="G19" s="14">
        <v>38046</v>
      </c>
      <c r="H19" s="14">
        <v>30287</v>
      </c>
    </row>
    <row r="20" spans="1:8" ht="18" customHeight="1">
      <c r="A20" s="347" t="s">
        <v>492</v>
      </c>
      <c r="B20" s="14">
        <v>80596</v>
      </c>
      <c r="C20" s="14">
        <f t="shared" si="0"/>
        <v>45236</v>
      </c>
      <c r="D20" s="14">
        <v>21050</v>
      </c>
      <c r="E20" s="14">
        <v>21802</v>
      </c>
      <c r="F20" s="14">
        <v>2384</v>
      </c>
      <c r="G20" s="14">
        <v>41416</v>
      </c>
      <c r="H20" s="14">
        <v>31534</v>
      </c>
    </row>
    <row r="21" spans="1:8" ht="18" customHeight="1">
      <c r="A21" s="347" t="s">
        <v>493</v>
      </c>
      <c r="B21" s="14">
        <v>89055</v>
      </c>
      <c r="C21" s="14">
        <f t="shared" si="0"/>
        <v>46997</v>
      </c>
      <c r="D21" s="14">
        <v>20617</v>
      </c>
      <c r="E21" s="14">
        <v>23894</v>
      </c>
      <c r="F21" s="14">
        <v>2486</v>
      </c>
      <c r="G21" s="14">
        <v>40502</v>
      </c>
      <c r="H21" s="14">
        <v>31765</v>
      </c>
    </row>
    <row r="22" spans="1:8" ht="18" customHeight="1">
      <c r="A22" s="347" t="s">
        <v>494</v>
      </c>
      <c r="B22" s="14">
        <v>91152</v>
      </c>
      <c r="C22" s="14">
        <f t="shared" si="0"/>
        <v>43373</v>
      </c>
      <c r="D22" s="14">
        <v>20117</v>
      </c>
      <c r="E22" s="14">
        <v>21338</v>
      </c>
      <c r="F22" s="14">
        <v>1918</v>
      </c>
      <c r="G22" s="14">
        <v>41240</v>
      </c>
      <c r="H22" s="14">
        <v>30800</v>
      </c>
    </row>
    <row r="23" spans="1:8" ht="18" customHeight="1">
      <c r="A23" s="347" t="s">
        <v>495</v>
      </c>
      <c r="B23" s="14">
        <v>82095</v>
      </c>
      <c r="C23" s="14">
        <f t="shared" si="0"/>
        <v>41463</v>
      </c>
      <c r="D23" s="14">
        <v>20360</v>
      </c>
      <c r="E23" s="14">
        <v>19192</v>
      </c>
      <c r="F23" s="14">
        <v>1911</v>
      </c>
      <c r="G23" s="14">
        <v>40082</v>
      </c>
      <c r="H23" s="14">
        <v>31159</v>
      </c>
    </row>
    <row r="24" spans="1:8" ht="18" customHeight="1">
      <c r="A24" s="347" t="s">
        <v>496</v>
      </c>
      <c r="B24" s="14">
        <v>77312</v>
      </c>
      <c r="C24" s="14">
        <f t="shared" si="0"/>
        <v>45941</v>
      </c>
      <c r="D24" s="14">
        <v>20967</v>
      </c>
      <c r="E24" s="14">
        <v>23021</v>
      </c>
      <c r="F24" s="14">
        <v>1953</v>
      </c>
      <c r="G24" s="14">
        <v>36699</v>
      </c>
      <c r="H24" s="14">
        <v>30653</v>
      </c>
    </row>
    <row r="25" spans="1:8" ht="18" customHeight="1">
      <c r="A25" s="347" t="s">
        <v>497</v>
      </c>
      <c r="B25" s="14">
        <v>106472</v>
      </c>
      <c r="C25" s="14">
        <f t="shared" si="0"/>
        <v>76394</v>
      </c>
      <c r="D25" s="14">
        <v>21111</v>
      </c>
      <c r="E25" s="14">
        <v>53740</v>
      </c>
      <c r="F25" s="14">
        <v>1543</v>
      </c>
      <c r="G25" s="14">
        <v>33812</v>
      </c>
      <c r="H25" s="14">
        <v>30861</v>
      </c>
    </row>
    <row r="26" spans="1:8" ht="18" customHeight="1">
      <c r="A26" s="347" t="s">
        <v>498</v>
      </c>
      <c r="B26" s="14">
        <v>111362</v>
      </c>
      <c r="C26" s="14">
        <f t="shared" si="0"/>
        <v>82322</v>
      </c>
      <c r="D26" s="14">
        <v>21708</v>
      </c>
      <c r="E26" s="14">
        <v>59114</v>
      </c>
      <c r="F26" s="14">
        <v>1500</v>
      </c>
      <c r="G26" s="14">
        <v>31441</v>
      </c>
      <c r="H26" s="14">
        <v>30728</v>
      </c>
    </row>
    <row r="27" spans="1:8" ht="18" customHeight="1">
      <c r="A27" s="347" t="s">
        <v>499</v>
      </c>
      <c r="B27" s="14">
        <v>132091</v>
      </c>
      <c r="C27" s="14">
        <f t="shared" si="0"/>
        <v>104848</v>
      </c>
      <c r="D27" s="14">
        <v>21573</v>
      </c>
      <c r="E27" s="14">
        <v>81585</v>
      </c>
      <c r="F27" s="14">
        <v>1690</v>
      </c>
      <c r="G27" s="14">
        <v>30906</v>
      </c>
      <c r="H27" s="14">
        <v>30118</v>
      </c>
    </row>
    <row r="28" spans="1:8" ht="18" customHeight="1">
      <c r="A28" s="347" t="s">
        <v>500</v>
      </c>
      <c r="B28" s="14">
        <v>151864</v>
      </c>
      <c r="C28" s="14">
        <f t="shared" si="0"/>
        <v>113981</v>
      </c>
      <c r="D28" s="14">
        <v>23121</v>
      </c>
      <c r="E28" s="14">
        <v>89004</v>
      </c>
      <c r="F28" s="14">
        <v>1856</v>
      </c>
      <c r="G28" s="14">
        <v>31565</v>
      </c>
      <c r="H28" s="14">
        <v>31234</v>
      </c>
    </row>
    <row r="29" spans="1:8" ht="18" customHeight="1">
      <c r="A29" s="347" t="s">
        <v>501</v>
      </c>
      <c r="B29" s="14">
        <v>124059</v>
      </c>
      <c r="C29" s="14">
        <f t="shared" si="0"/>
        <v>144492</v>
      </c>
      <c r="D29" s="14">
        <v>22963</v>
      </c>
      <c r="E29" s="14">
        <v>119667</v>
      </c>
      <c r="F29" s="14">
        <v>1862</v>
      </c>
      <c r="G29" s="14">
        <v>33063</v>
      </c>
      <c r="H29" s="14">
        <v>31818</v>
      </c>
    </row>
    <row r="30" spans="1:8" ht="18" customHeight="1">
      <c r="A30" s="347" t="s">
        <v>502</v>
      </c>
      <c r="B30" s="14">
        <v>116692</v>
      </c>
      <c r="C30" s="14">
        <f t="shared" si="0"/>
        <v>139796</v>
      </c>
      <c r="D30" s="14">
        <v>23287</v>
      </c>
      <c r="E30" s="14">
        <v>116509</v>
      </c>
      <c r="F30" s="14">
        <v>0</v>
      </c>
      <c r="G30" s="14">
        <v>33059</v>
      </c>
      <c r="H30" s="14">
        <v>32660</v>
      </c>
    </row>
    <row r="31" spans="1:8" ht="18" customHeight="1">
      <c r="A31" s="347" t="s">
        <v>95</v>
      </c>
      <c r="B31" s="14">
        <v>113218</v>
      </c>
      <c r="C31" s="14">
        <f t="shared" si="0"/>
        <v>131560</v>
      </c>
      <c r="D31" s="14">
        <v>21531</v>
      </c>
      <c r="E31" s="14">
        <v>110029</v>
      </c>
      <c r="F31" s="14">
        <v>0</v>
      </c>
      <c r="G31" s="14">
        <v>32623</v>
      </c>
      <c r="H31" s="14">
        <v>32389</v>
      </c>
    </row>
    <row r="32" spans="1:8" ht="18" customHeight="1">
      <c r="A32" s="347" t="s">
        <v>40</v>
      </c>
      <c r="B32" s="14">
        <v>114105</v>
      </c>
      <c r="C32" s="14">
        <f t="shared" si="0"/>
        <v>127775</v>
      </c>
      <c r="D32" s="14">
        <v>23395</v>
      </c>
      <c r="E32" s="14">
        <v>104380</v>
      </c>
      <c r="F32" s="14">
        <v>0</v>
      </c>
      <c r="G32" s="14">
        <v>32312</v>
      </c>
      <c r="H32" s="14">
        <v>31338</v>
      </c>
    </row>
    <row r="33" spans="1:8" ht="18" customHeight="1">
      <c r="A33" s="347" t="s">
        <v>41</v>
      </c>
      <c r="B33" s="14">
        <v>69409</v>
      </c>
      <c r="C33" s="14">
        <f t="shared" si="0"/>
        <v>83013</v>
      </c>
      <c r="D33" s="14">
        <v>18585</v>
      </c>
      <c r="E33" s="14">
        <v>64428</v>
      </c>
      <c r="F33" s="14">
        <v>0</v>
      </c>
      <c r="G33" s="14">
        <v>31050</v>
      </c>
      <c r="H33" s="14">
        <v>30180</v>
      </c>
    </row>
    <row r="34" spans="1:8" ht="18" customHeight="1">
      <c r="A34" s="347" t="s">
        <v>42</v>
      </c>
      <c r="B34" s="14">
        <v>84362</v>
      </c>
      <c r="C34" s="14">
        <f t="shared" si="0"/>
        <v>109126</v>
      </c>
      <c r="D34" s="14">
        <v>20540</v>
      </c>
      <c r="E34" s="14">
        <v>88586</v>
      </c>
      <c r="F34" s="14">
        <v>0</v>
      </c>
      <c r="G34" s="14">
        <v>32081</v>
      </c>
      <c r="H34" s="14">
        <v>32258</v>
      </c>
    </row>
    <row r="35" spans="1:8" ht="18" customHeight="1">
      <c r="A35" s="347" t="s">
        <v>43</v>
      </c>
      <c r="B35" s="14">
        <v>100610</v>
      </c>
      <c r="C35" s="14">
        <f t="shared" si="0"/>
        <v>140244</v>
      </c>
      <c r="D35" s="14">
        <v>20956</v>
      </c>
      <c r="E35" s="14">
        <v>119288</v>
      </c>
      <c r="F35" s="14">
        <v>0</v>
      </c>
      <c r="G35" s="14">
        <v>32844</v>
      </c>
      <c r="H35" s="14">
        <v>32340</v>
      </c>
    </row>
    <row r="36" spans="1:8" s="5" customFormat="1" ht="18" customHeight="1">
      <c r="A36" s="347" t="s">
        <v>44</v>
      </c>
      <c r="B36" s="14">
        <v>115084</v>
      </c>
      <c r="C36" s="14">
        <f t="shared" si="0"/>
        <v>154107</v>
      </c>
      <c r="D36" s="14">
        <v>19223</v>
      </c>
      <c r="E36" s="14">
        <v>134884</v>
      </c>
      <c r="F36" s="14">
        <v>0</v>
      </c>
      <c r="G36" s="14">
        <v>33134</v>
      </c>
      <c r="H36" s="14">
        <v>31586</v>
      </c>
    </row>
    <row r="37" spans="1:8" s="128" customFormat="1" ht="18" customHeight="1">
      <c r="A37" s="347" t="s">
        <v>45</v>
      </c>
      <c r="B37" s="14">
        <v>123709</v>
      </c>
      <c r="C37" s="14">
        <f t="shared" si="0"/>
        <v>164048</v>
      </c>
      <c r="D37" s="14">
        <v>20620</v>
      </c>
      <c r="E37" s="14">
        <v>143428</v>
      </c>
      <c r="F37" s="14">
        <v>0</v>
      </c>
      <c r="G37" s="14">
        <v>33417</v>
      </c>
      <c r="H37" s="14">
        <v>33069</v>
      </c>
    </row>
    <row r="38" spans="1:8" s="128" customFormat="1" ht="18" customHeight="1">
      <c r="A38" s="347" t="s">
        <v>46</v>
      </c>
      <c r="B38" s="14">
        <v>134415</v>
      </c>
      <c r="C38" s="14">
        <f t="shared" si="0"/>
        <v>172491</v>
      </c>
      <c r="D38" s="14">
        <v>21471</v>
      </c>
      <c r="E38" s="14">
        <v>151020</v>
      </c>
      <c r="F38" s="14">
        <v>0</v>
      </c>
      <c r="G38" s="14">
        <v>33300</v>
      </c>
      <c r="H38" s="14">
        <v>33827</v>
      </c>
    </row>
    <row r="39" spans="1:8" s="128" customFormat="1" ht="18" customHeight="1">
      <c r="A39" s="347" t="s">
        <v>47</v>
      </c>
      <c r="B39" s="14">
        <v>139838</v>
      </c>
      <c r="C39" s="14">
        <f t="shared" si="0"/>
        <v>170867</v>
      </c>
      <c r="D39" s="14">
        <v>22839</v>
      </c>
      <c r="E39" s="14">
        <v>148028</v>
      </c>
      <c r="F39" s="14">
        <v>0</v>
      </c>
      <c r="G39" s="348">
        <v>32570</v>
      </c>
      <c r="H39" s="348">
        <v>34922</v>
      </c>
    </row>
    <row r="40" spans="1:8" s="128" customFormat="1" ht="18" customHeight="1">
      <c r="A40" s="347" t="s">
        <v>48</v>
      </c>
      <c r="B40" s="14">
        <v>141547</v>
      </c>
      <c r="C40" s="14">
        <f t="shared" si="0"/>
        <v>184653</v>
      </c>
      <c r="D40" s="14">
        <v>23196</v>
      </c>
      <c r="E40" s="14">
        <v>161457</v>
      </c>
      <c r="F40" s="14">
        <v>0</v>
      </c>
      <c r="G40" s="14">
        <v>33185</v>
      </c>
      <c r="H40" s="14">
        <v>35854</v>
      </c>
    </row>
    <row r="41" spans="1:8" s="128" customFormat="1" ht="18" customHeight="1">
      <c r="A41" s="347" t="s">
        <v>49</v>
      </c>
      <c r="B41" s="14">
        <v>147126</v>
      </c>
      <c r="C41" s="14">
        <f t="shared" si="0"/>
        <v>197632</v>
      </c>
      <c r="D41" s="14">
        <v>23481</v>
      </c>
      <c r="E41" s="14">
        <v>174151</v>
      </c>
      <c r="F41" s="14">
        <v>0</v>
      </c>
      <c r="G41" s="14">
        <v>33780</v>
      </c>
      <c r="H41" s="14">
        <v>35685</v>
      </c>
    </row>
    <row r="42" spans="1:8" s="128" customFormat="1" ht="18" customHeight="1">
      <c r="A42" s="347" t="s">
        <v>50</v>
      </c>
      <c r="B42" s="14">
        <v>155033</v>
      </c>
      <c r="C42" s="14">
        <f t="shared" si="0"/>
        <v>199949</v>
      </c>
      <c r="D42" s="14">
        <v>24599</v>
      </c>
      <c r="E42" s="14">
        <v>175350</v>
      </c>
      <c r="F42" s="14">
        <v>0</v>
      </c>
      <c r="G42" s="348">
        <v>33669</v>
      </c>
      <c r="H42" s="348">
        <v>38092</v>
      </c>
    </row>
    <row r="43" spans="1:8" s="128" customFormat="1" ht="18" customHeight="1">
      <c r="A43" s="347" t="s">
        <v>51</v>
      </c>
      <c r="B43" s="14">
        <v>155221</v>
      </c>
      <c r="C43" s="14">
        <f t="shared" si="0"/>
        <v>196137</v>
      </c>
      <c r="D43" s="14">
        <v>25579</v>
      </c>
      <c r="E43" s="14">
        <v>170558</v>
      </c>
      <c r="F43" s="14">
        <v>0</v>
      </c>
      <c r="G43" s="348">
        <v>33438</v>
      </c>
      <c r="H43" s="348">
        <v>37965</v>
      </c>
    </row>
    <row r="44" spans="1:8" s="128" customFormat="1" ht="18" customHeight="1">
      <c r="A44" s="347" t="s">
        <v>52</v>
      </c>
      <c r="B44" s="14">
        <v>155226</v>
      </c>
      <c r="C44" s="14">
        <f t="shared" si="0"/>
        <v>226232</v>
      </c>
      <c r="D44" s="14">
        <v>25952</v>
      </c>
      <c r="E44" s="14">
        <v>200280</v>
      </c>
      <c r="F44" s="14">
        <v>0</v>
      </c>
      <c r="G44" s="348">
        <v>34600</v>
      </c>
      <c r="H44" s="348">
        <v>41145</v>
      </c>
    </row>
    <row r="45" spans="1:8" s="128" customFormat="1" ht="18" customHeight="1">
      <c r="A45" s="347" t="s">
        <v>53</v>
      </c>
      <c r="B45" s="14">
        <v>156844</v>
      </c>
      <c r="C45" s="14">
        <v>226769</v>
      </c>
      <c r="D45" s="14">
        <v>25410</v>
      </c>
      <c r="E45" s="14">
        <v>201359</v>
      </c>
      <c r="F45" s="14">
        <v>0</v>
      </c>
      <c r="G45" s="348">
        <v>34652</v>
      </c>
      <c r="H45" s="348">
        <v>39706</v>
      </c>
    </row>
    <row r="46" spans="1:8" s="233" customFormat="1" ht="18" customHeight="1">
      <c r="A46" s="347" t="s">
        <v>54</v>
      </c>
      <c r="B46" s="166">
        <v>160546</v>
      </c>
      <c r="C46" s="166">
        <v>245249</v>
      </c>
      <c r="D46" s="166">
        <v>26033</v>
      </c>
      <c r="E46" s="166">
        <v>219216</v>
      </c>
      <c r="F46" s="166">
        <v>0</v>
      </c>
      <c r="G46" s="349">
        <v>34929</v>
      </c>
      <c r="H46" s="349">
        <v>44462</v>
      </c>
    </row>
    <row r="47" spans="1:8" s="128" customFormat="1" ht="18" customHeight="1">
      <c r="A47" s="347" t="s">
        <v>55</v>
      </c>
      <c r="B47" s="166">
        <v>161753</v>
      </c>
      <c r="C47" s="166">
        <f>+D47+E47</f>
        <v>244224</v>
      </c>
      <c r="D47" s="166">
        <v>26661</v>
      </c>
      <c r="E47" s="166">
        <v>217563</v>
      </c>
      <c r="F47" s="166">
        <v>0</v>
      </c>
      <c r="G47" s="349">
        <v>34102</v>
      </c>
      <c r="H47" s="349">
        <v>45011</v>
      </c>
    </row>
    <row r="48" spans="1:8" s="128" customFormat="1" ht="18" customHeight="1">
      <c r="A48" s="23" t="s">
        <v>513</v>
      </c>
      <c r="B48" s="14">
        <v>174279</v>
      </c>
      <c r="C48" s="166">
        <f>+D48+E48</f>
        <v>250590</v>
      </c>
      <c r="D48" s="14">
        <v>27646</v>
      </c>
      <c r="E48" s="14">
        <v>222944</v>
      </c>
      <c r="F48" s="14">
        <v>0</v>
      </c>
      <c r="G48" s="348">
        <v>34604</v>
      </c>
      <c r="H48" s="348">
        <v>45773</v>
      </c>
    </row>
    <row r="49" spans="1:8" ht="18" customHeight="1">
      <c r="A49" s="347" t="s">
        <v>542</v>
      </c>
      <c r="B49" s="166">
        <v>182880</v>
      </c>
      <c r="C49" s="166">
        <f>+D49+E49</f>
        <v>262810</v>
      </c>
      <c r="D49" s="166">
        <v>27710</v>
      </c>
      <c r="E49" s="166">
        <f>148220+69992+10314+6574</f>
        <v>235100</v>
      </c>
      <c r="F49" s="166">
        <v>0</v>
      </c>
      <c r="G49" s="349">
        <v>35379</v>
      </c>
      <c r="H49" s="349">
        <v>44408</v>
      </c>
    </row>
    <row r="50" spans="1:8" s="5" customFormat="1" ht="18" customHeight="1">
      <c r="A50" s="23" t="s">
        <v>562</v>
      </c>
      <c r="B50" s="14">
        <v>185912</v>
      </c>
      <c r="C50" s="14">
        <v>278723</v>
      </c>
      <c r="D50" s="14">
        <v>28031</v>
      </c>
      <c r="E50" s="14">
        <v>250692</v>
      </c>
      <c r="F50" s="14">
        <v>0</v>
      </c>
      <c r="G50" s="348">
        <v>36205</v>
      </c>
      <c r="H50" s="348">
        <v>46749</v>
      </c>
    </row>
    <row r="51" spans="1:8" s="5" customFormat="1" ht="18" customHeight="1">
      <c r="A51" s="23" t="s">
        <v>651</v>
      </c>
      <c r="B51" s="14">
        <v>178147</v>
      </c>
      <c r="C51" s="14">
        <v>289881</v>
      </c>
      <c r="D51" s="14">
        <v>28724</v>
      </c>
      <c r="E51" s="14">
        <v>261157</v>
      </c>
      <c r="F51" s="14">
        <v>0</v>
      </c>
      <c r="G51" s="348">
        <v>33746</v>
      </c>
      <c r="H51" s="348">
        <v>48237</v>
      </c>
    </row>
    <row r="52" spans="1:8" s="5" customFormat="1" ht="18" customHeight="1">
      <c r="A52" s="23" t="s">
        <v>663</v>
      </c>
      <c r="B52" s="14">
        <f>'demanda bach'!V7</f>
        <v>175286</v>
      </c>
      <c r="C52" s="14">
        <f>'demanda lic'!V8</f>
        <v>319773</v>
      </c>
      <c r="D52" s="14">
        <f>'demanda lic'!V11</f>
        <v>29014</v>
      </c>
      <c r="E52" s="14">
        <f>'demanda lic'!V14</f>
        <v>290759</v>
      </c>
      <c r="F52" s="14">
        <v>0</v>
      </c>
      <c r="G52" s="348">
        <v>34327</v>
      </c>
      <c r="H52" s="348">
        <v>50795</v>
      </c>
    </row>
    <row r="53" spans="1:8" s="5" customFormat="1" ht="18" customHeight="1">
      <c r="A53" s="23" t="s">
        <v>690</v>
      </c>
      <c r="B53" s="14">
        <f>+'demanda bach'!W7</f>
        <v>165106</v>
      </c>
      <c r="C53" s="14">
        <f>+'demanda lic'!W8</f>
        <v>300321</v>
      </c>
      <c r="D53" s="14">
        <f>+'demanda lic'!W11</f>
        <v>33938</v>
      </c>
      <c r="E53" s="14">
        <f>+'demanda lic'!W14</f>
        <v>266383</v>
      </c>
      <c r="F53" s="14">
        <v>0</v>
      </c>
      <c r="G53" s="348">
        <f>+'demanda lic'!W12</f>
        <v>33938</v>
      </c>
      <c r="H53" s="348">
        <v>54364</v>
      </c>
    </row>
    <row r="54" spans="1:8" s="795" customFormat="1" ht="18" customHeight="1">
      <c r="A54" s="23" t="s">
        <v>733</v>
      </c>
      <c r="B54" s="14">
        <v>153105</v>
      </c>
      <c r="C54" s="14">
        <v>248621</v>
      </c>
      <c r="D54" s="14">
        <v>32864</v>
      </c>
      <c r="E54" s="14">
        <v>215757</v>
      </c>
      <c r="F54" s="14">
        <v>0</v>
      </c>
      <c r="G54" s="348">
        <v>33946</v>
      </c>
      <c r="H54" s="348">
        <v>52538</v>
      </c>
    </row>
    <row r="55" spans="1:8" s="508" customFormat="1" ht="15" customHeight="1">
      <c r="A55" s="792" t="s">
        <v>784</v>
      </c>
      <c r="B55" s="793">
        <v>160185</v>
      </c>
      <c r="C55" s="793">
        <v>256033</v>
      </c>
      <c r="D55" s="793">
        <v>30050</v>
      </c>
      <c r="E55" s="793">
        <v>225983</v>
      </c>
      <c r="F55" s="793">
        <v>0</v>
      </c>
      <c r="G55" s="794">
        <v>33422</v>
      </c>
      <c r="H55" s="794">
        <v>50245</v>
      </c>
    </row>
    <row r="56" spans="2:8" s="129" customFormat="1" ht="11.25">
      <c r="B56" s="40"/>
      <c r="C56" s="40"/>
      <c r="D56" s="40"/>
      <c r="E56" s="40"/>
      <c r="F56" s="40"/>
      <c r="G56" s="40"/>
      <c r="H56" s="13"/>
    </row>
    <row r="57" spans="1:8" ht="12.75">
      <c r="A57" s="40" t="s">
        <v>59</v>
      </c>
      <c r="H57" s="39"/>
    </row>
  </sheetData>
  <sheetProtection/>
  <mergeCells count="4">
    <mergeCell ref="A1:H1"/>
    <mergeCell ref="A2:H2"/>
    <mergeCell ref="A3:H3"/>
    <mergeCell ref="A4:H4"/>
  </mergeCells>
  <printOptions horizontalCentered="1"/>
  <pageMargins left="0.7900000000000001" right="0.7900000000000001" top="0.7900000000000001" bottom="0.7900000000000001" header="0" footer="0"/>
  <pageSetup fitToHeight="1" fitToWidth="1" horizontalDpi="600" verticalDpi="600" orientation="landscape" scale="52"/>
</worksheet>
</file>

<file path=xl/worksheets/sheet6.xml><?xml version="1.0" encoding="utf-8"?>
<worksheet xmlns="http://schemas.openxmlformats.org/spreadsheetml/2006/main" xmlns:r="http://schemas.openxmlformats.org/officeDocument/2006/relationships">
  <sheetPr>
    <tabColor rgb="FF660066"/>
    <pageSetUpPr fitToPage="1"/>
  </sheetPr>
  <dimension ref="A1:Z38"/>
  <sheetViews>
    <sheetView zoomScalePageLayoutView="0" workbookViewId="0" topLeftCell="A1">
      <pane xSplit="1" ySplit="6" topLeftCell="T7" activePane="bottomRight" state="frozen"/>
      <selection pane="topLeft" activeCell="A1" sqref="A1:H1"/>
      <selection pane="topRight" activeCell="A1" sqref="A1:H1"/>
      <selection pane="bottomLeft" activeCell="A1" sqref="A1:H1"/>
      <selection pane="bottomRight" activeCell="X7" sqref="X7"/>
    </sheetView>
  </sheetViews>
  <sheetFormatPr defaultColWidth="11.421875" defaultRowHeight="12.75"/>
  <cols>
    <col min="1" max="1" width="47.7109375" style="65" bestFit="1" customWidth="1"/>
    <col min="2" max="15" width="11.421875" style="65" customWidth="1"/>
    <col min="16" max="24" width="10.8515625" style="65" customWidth="1"/>
    <col min="25" max="25" width="10.8515625" style="753" customWidth="1"/>
    <col min="26" max="26" width="11.421875" style="419" customWidth="1"/>
    <col min="27" max="16384" width="11.421875" style="65" customWidth="1"/>
  </cols>
  <sheetData>
    <row r="1" spans="1:26" ht="12.75">
      <c r="A1" s="1115" t="s">
        <v>86</v>
      </c>
      <c r="B1" s="1115"/>
      <c r="C1" s="1115"/>
      <c r="D1" s="1115"/>
      <c r="E1" s="1115"/>
      <c r="F1" s="1115"/>
      <c r="G1" s="1115"/>
      <c r="H1" s="1115"/>
      <c r="I1" s="1115"/>
      <c r="J1" s="1115"/>
      <c r="K1" s="1115"/>
      <c r="L1" s="1115"/>
      <c r="M1" s="1115"/>
      <c r="N1" s="1115"/>
      <c r="O1" s="1115"/>
      <c r="P1" s="1115"/>
      <c r="Q1" s="1115"/>
      <c r="R1" s="1115"/>
      <c r="S1" s="1115"/>
      <c r="T1" s="1115"/>
      <c r="U1" s="1115"/>
      <c r="V1" s="1115"/>
      <c r="W1" s="1115"/>
      <c r="X1" s="1115"/>
      <c r="Y1" s="1115"/>
      <c r="Z1" s="736"/>
    </row>
    <row r="3" spans="1:26" s="392" customFormat="1" ht="18" customHeight="1">
      <c r="A3" s="1116" t="s">
        <v>4</v>
      </c>
      <c r="B3" s="1116"/>
      <c r="C3" s="1116"/>
      <c r="D3" s="1116"/>
      <c r="E3" s="1116"/>
      <c r="F3" s="1116"/>
      <c r="G3" s="1116"/>
      <c r="H3" s="1116"/>
      <c r="I3" s="1116"/>
      <c r="J3" s="1116"/>
      <c r="K3" s="1116"/>
      <c r="L3" s="1116"/>
      <c r="M3" s="1116"/>
      <c r="N3" s="1116"/>
      <c r="O3" s="1116"/>
      <c r="P3" s="1116"/>
      <c r="Q3" s="1116"/>
      <c r="R3" s="1116"/>
      <c r="S3" s="1116"/>
      <c r="T3" s="1116"/>
      <c r="U3" s="1116"/>
      <c r="V3" s="1116"/>
      <c r="W3" s="1116"/>
      <c r="X3" s="1116"/>
      <c r="Y3" s="1116"/>
      <c r="Z3" s="737"/>
    </row>
    <row r="4" spans="1:26" s="420" customFormat="1" ht="18" customHeight="1">
      <c r="A4" s="1117" t="s">
        <v>778</v>
      </c>
      <c r="B4" s="1117"/>
      <c r="C4" s="1117"/>
      <c r="D4" s="1117"/>
      <c r="E4" s="1117"/>
      <c r="F4" s="1117"/>
      <c r="G4" s="1117"/>
      <c r="H4" s="1117"/>
      <c r="I4" s="1117"/>
      <c r="J4" s="1117"/>
      <c r="K4" s="1117"/>
      <c r="L4" s="1117"/>
      <c r="M4" s="1117"/>
      <c r="N4" s="1117"/>
      <c r="O4" s="1117"/>
      <c r="P4" s="1117"/>
      <c r="Q4" s="1117"/>
      <c r="R4" s="1117"/>
      <c r="S4" s="1117"/>
      <c r="T4" s="1117"/>
      <c r="U4" s="1117"/>
      <c r="V4" s="1117"/>
      <c r="W4" s="1117"/>
      <c r="X4" s="1117"/>
      <c r="Y4" s="1117"/>
      <c r="Z4" s="739"/>
    </row>
    <row r="5" spans="1:26" s="52" customFormat="1" ht="18" customHeight="1">
      <c r="A5" s="420"/>
      <c r="B5" s="417"/>
      <c r="C5" s="417"/>
      <c r="D5" s="417"/>
      <c r="E5" s="417"/>
      <c r="F5" s="417"/>
      <c r="G5" s="417"/>
      <c r="H5" s="417"/>
      <c r="I5" s="417"/>
      <c r="J5" s="417"/>
      <c r="K5" s="417"/>
      <c r="L5" s="417"/>
      <c r="M5" s="417"/>
      <c r="N5" s="417"/>
      <c r="O5" s="417"/>
      <c r="P5" s="417"/>
      <c r="Q5" s="417"/>
      <c r="R5" s="417"/>
      <c r="S5" s="417"/>
      <c r="T5" s="417"/>
      <c r="U5" s="417"/>
      <c r="V5" s="393"/>
      <c r="W5" s="393"/>
      <c r="X5" s="393"/>
      <c r="Y5" s="810"/>
      <c r="Z5" s="419"/>
    </row>
    <row r="6" spans="1:26" ht="18" customHeight="1">
      <c r="A6" s="394"/>
      <c r="B6" s="395" t="s">
        <v>40</v>
      </c>
      <c r="C6" s="395" t="s">
        <v>41</v>
      </c>
      <c r="D6" s="395" t="s">
        <v>42</v>
      </c>
      <c r="E6" s="395" t="s">
        <v>43</v>
      </c>
      <c r="F6" s="395" t="s">
        <v>44</v>
      </c>
      <c r="G6" s="395" t="s">
        <v>45</v>
      </c>
      <c r="H6" s="395" t="s">
        <v>46</v>
      </c>
      <c r="I6" s="421" t="s">
        <v>47</v>
      </c>
      <c r="J6" s="395" t="s">
        <v>48</v>
      </c>
      <c r="K6" s="395" t="s">
        <v>49</v>
      </c>
      <c r="L6" s="395" t="s">
        <v>50</v>
      </c>
      <c r="M6" s="395" t="s">
        <v>51</v>
      </c>
      <c r="N6" s="395" t="s">
        <v>52</v>
      </c>
      <c r="O6" s="395" t="s">
        <v>53</v>
      </c>
      <c r="P6" s="395" t="s">
        <v>54</v>
      </c>
      <c r="Q6" s="395" t="s">
        <v>55</v>
      </c>
      <c r="R6" s="395" t="s">
        <v>513</v>
      </c>
      <c r="S6" s="395" t="s">
        <v>542</v>
      </c>
      <c r="T6" s="395" t="s">
        <v>562</v>
      </c>
      <c r="U6" s="395" t="s">
        <v>651</v>
      </c>
      <c r="V6" s="395" t="s">
        <v>663</v>
      </c>
      <c r="W6" s="395" t="s">
        <v>690</v>
      </c>
      <c r="X6" s="395" t="s">
        <v>733</v>
      </c>
      <c r="Y6" s="811" t="s">
        <v>784</v>
      </c>
      <c r="Z6" s="738"/>
    </row>
    <row r="7" spans="1:25" ht="18" customHeight="1">
      <c r="A7" s="396" t="s">
        <v>68</v>
      </c>
      <c r="B7" s="397">
        <f>SUM(B10,B13,B16,B19)</f>
        <v>134172</v>
      </c>
      <c r="C7" s="397">
        <f aca="true" t="shared" si="0" ref="C7:S7">SUM(C10,C13,C16,C19)</f>
        <v>130778</v>
      </c>
      <c r="D7" s="397">
        <f t="shared" si="0"/>
        <v>133933</v>
      </c>
      <c r="E7" s="397">
        <f t="shared" si="0"/>
        <v>138023</v>
      </c>
      <c r="F7" s="397">
        <f t="shared" si="0"/>
        <v>143405</v>
      </c>
      <c r="G7" s="397">
        <f t="shared" si="0"/>
        <v>150253</v>
      </c>
      <c r="H7" s="397">
        <f t="shared" si="0"/>
        <v>156434</v>
      </c>
      <c r="I7" s="397">
        <f t="shared" si="0"/>
        <v>163368</v>
      </c>
      <c r="J7" s="397">
        <f t="shared" si="0"/>
        <v>167891</v>
      </c>
      <c r="K7" s="397">
        <f t="shared" si="0"/>
        <v>172444</v>
      </c>
      <c r="L7" s="397">
        <f t="shared" si="0"/>
        <v>179052</v>
      </c>
      <c r="M7" s="397">
        <f t="shared" si="0"/>
        <v>180763</v>
      </c>
      <c r="N7" s="397">
        <f t="shared" si="0"/>
        <v>187195</v>
      </c>
      <c r="O7" s="397">
        <f t="shared" si="0"/>
        <v>190707</v>
      </c>
      <c r="P7" s="397">
        <f t="shared" si="0"/>
        <v>196565</v>
      </c>
      <c r="Q7" s="397">
        <f t="shared" si="0"/>
        <v>201206</v>
      </c>
      <c r="R7" s="397">
        <f t="shared" si="0"/>
        <v>204940</v>
      </c>
      <c r="S7" s="397">
        <f t="shared" si="0"/>
        <v>205648</v>
      </c>
      <c r="T7" s="397">
        <f aca="true" t="shared" si="1" ref="T7:Y7">SUM(T10,T13,T16,T19)</f>
        <v>204191</v>
      </c>
      <c r="U7" s="397">
        <f t="shared" si="1"/>
        <v>213004</v>
      </c>
      <c r="V7" s="397">
        <f t="shared" si="1"/>
        <v>217808</v>
      </c>
      <c r="W7" s="397">
        <f t="shared" si="1"/>
        <v>226575</v>
      </c>
      <c r="X7" s="397">
        <f t="shared" si="1"/>
        <v>229268</v>
      </c>
      <c r="Y7" s="817">
        <f t="shared" si="1"/>
        <v>233260</v>
      </c>
    </row>
    <row r="8" spans="1:25" ht="18" customHeight="1">
      <c r="A8" s="400" t="s">
        <v>87</v>
      </c>
      <c r="B8" s="401">
        <f>B11+B14+B17+B20</f>
        <v>128478</v>
      </c>
      <c r="C8" s="401">
        <f>C11+C14+C17+C20</f>
        <v>124806</v>
      </c>
      <c r="D8" s="401">
        <f aca="true" t="shared" si="2" ref="D8:S8">D11+D14+D17+D20</f>
        <v>127832</v>
      </c>
      <c r="E8" s="401">
        <f t="shared" si="2"/>
        <v>131491</v>
      </c>
      <c r="F8" s="401">
        <f t="shared" si="2"/>
        <v>135802</v>
      </c>
      <c r="G8" s="401">
        <f t="shared" si="2"/>
        <v>141696</v>
      </c>
      <c r="H8" s="401">
        <f t="shared" si="2"/>
        <v>145289</v>
      </c>
      <c r="I8" s="401">
        <f t="shared" si="2"/>
        <v>151336</v>
      </c>
      <c r="J8" s="401">
        <f t="shared" si="2"/>
        <v>154876</v>
      </c>
      <c r="K8" s="401">
        <f t="shared" si="2"/>
        <v>158903</v>
      </c>
      <c r="L8" s="401">
        <f t="shared" si="2"/>
        <v>162849</v>
      </c>
      <c r="M8" s="401">
        <f t="shared" si="2"/>
        <v>163899</v>
      </c>
      <c r="N8" s="401">
        <f t="shared" si="2"/>
        <v>165786</v>
      </c>
      <c r="O8" s="401">
        <f t="shared" si="2"/>
        <v>166994</v>
      </c>
      <c r="P8" s="401">
        <f t="shared" si="2"/>
        <v>170509</v>
      </c>
      <c r="Q8" s="401">
        <f t="shared" si="2"/>
        <v>172678</v>
      </c>
      <c r="R8" s="401">
        <f t="shared" si="2"/>
        <v>174517</v>
      </c>
      <c r="S8" s="401">
        <f t="shared" si="2"/>
        <v>174314</v>
      </c>
      <c r="T8" s="401">
        <f aca="true" t="shared" si="3" ref="T8:Y8">T11+T14+T17+T20</f>
        <v>171876</v>
      </c>
      <c r="U8" s="401">
        <f t="shared" si="3"/>
        <v>178329</v>
      </c>
      <c r="V8" s="401">
        <f t="shared" si="3"/>
        <v>180494</v>
      </c>
      <c r="W8" s="401">
        <f t="shared" si="3"/>
        <v>187493</v>
      </c>
      <c r="X8" s="401">
        <f t="shared" si="3"/>
        <v>188691</v>
      </c>
      <c r="Y8" s="823">
        <f t="shared" si="3"/>
        <v>190351</v>
      </c>
    </row>
    <row r="9" spans="1:26" s="52" customFormat="1" ht="18" customHeight="1">
      <c r="A9" s="400" t="s">
        <v>88</v>
      </c>
      <c r="B9" s="401">
        <f>B15+B18+B21</f>
        <v>5694</v>
      </c>
      <c r="C9" s="401">
        <f aca="true" t="shared" si="4" ref="C9:S9">C15+C18+C21</f>
        <v>5972</v>
      </c>
      <c r="D9" s="401">
        <f t="shared" si="4"/>
        <v>6101</v>
      </c>
      <c r="E9" s="401">
        <f t="shared" si="4"/>
        <v>6532</v>
      </c>
      <c r="F9" s="401">
        <f t="shared" si="4"/>
        <v>7603</v>
      </c>
      <c r="G9" s="401">
        <f t="shared" si="4"/>
        <v>8557</v>
      </c>
      <c r="H9" s="401">
        <f t="shared" si="4"/>
        <v>11145</v>
      </c>
      <c r="I9" s="401">
        <f t="shared" si="4"/>
        <v>12032</v>
      </c>
      <c r="J9" s="401">
        <f t="shared" si="4"/>
        <v>13015</v>
      </c>
      <c r="K9" s="401">
        <f t="shared" si="4"/>
        <v>13541</v>
      </c>
      <c r="L9" s="401">
        <f t="shared" si="4"/>
        <v>16203</v>
      </c>
      <c r="M9" s="401">
        <f t="shared" si="4"/>
        <v>16864</v>
      </c>
      <c r="N9" s="401">
        <f t="shared" si="4"/>
        <v>21409</v>
      </c>
      <c r="O9" s="401">
        <f t="shared" si="4"/>
        <v>23713</v>
      </c>
      <c r="P9" s="401">
        <f t="shared" si="4"/>
        <v>26056</v>
      </c>
      <c r="Q9" s="401">
        <f t="shared" si="4"/>
        <v>28528</v>
      </c>
      <c r="R9" s="401">
        <f t="shared" si="4"/>
        <v>30423</v>
      </c>
      <c r="S9" s="401">
        <f t="shared" si="4"/>
        <v>31334</v>
      </c>
      <c r="T9" s="401">
        <f aca="true" t="shared" si="5" ref="T9:Y9">T15+T18+T21</f>
        <v>32315</v>
      </c>
      <c r="U9" s="401">
        <f t="shared" si="5"/>
        <v>34675</v>
      </c>
      <c r="V9" s="401">
        <f t="shared" si="5"/>
        <v>37314</v>
      </c>
      <c r="W9" s="401">
        <f t="shared" si="5"/>
        <v>39082</v>
      </c>
      <c r="X9" s="401">
        <f t="shared" si="5"/>
        <v>40577</v>
      </c>
      <c r="Y9" s="823">
        <f t="shared" si="5"/>
        <v>42909</v>
      </c>
      <c r="Z9" s="419"/>
    </row>
    <row r="10" spans="1:26" ht="18" customHeight="1">
      <c r="A10" s="422" t="s">
        <v>89</v>
      </c>
      <c r="B10" s="397">
        <f>SUM(B11)</f>
        <v>29240</v>
      </c>
      <c r="C10" s="397">
        <f aca="true" t="shared" si="6" ref="C10:Y10">SUM(C11)</f>
        <v>26635</v>
      </c>
      <c r="D10" s="397">
        <f t="shared" si="6"/>
        <v>27489</v>
      </c>
      <c r="E10" s="397">
        <f t="shared" si="6"/>
        <v>27772</v>
      </c>
      <c r="F10" s="397">
        <f t="shared" si="6"/>
        <v>28155</v>
      </c>
      <c r="G10" s="397">
        <f t="shared" si="6"/>
        <v>29151</v>
      </c>
      <c r="H10" s="397">
        <f t="shared" si="6"/>
        <v>30683</v>
      </c>
      <c r="I10" s="397">
        <f t="shared" si="6"/>
        <v>31868</v>
      </c>
      <c r="J10" s="397">
        <f t="shared" si="6"/>
        <v>33257</v>
      </c>
      <c r="K10" s="397">
        <f t="shared" si="6"/>
        <v>34849</v>
      </c>
      <c r="L10" s="397">
        <f t="shared" si="6"/>
        <v>36721</v>
      </c>
      <c r="M10" s="397">
        <f t="shared" si="6"/>
        <v>38029</v>
      </c>
      <c r="N10" s="397">
        <f t="shared" si="6"/>
        <v>39720</v>
      </c>
      <c r="O10" s="397">
        <f t="shared" si="6"/>
        <v>40495</v>
      </c>
      <c r="P10" s="397">
        <f t="shared" si="6"/>
        <v>42185</v>
      </c>
      <c r="Q10" s="397">
        <f t="shared" si="6"/>
        <v>43243</v>
      </c>
      <c r="R10" s="397">
        <f t="shared" si="6"/>
        <v>44414</v>
      </c>
      <c r="S10" s="397">
        <f t="shared" si="6"/>
        <v>44888</v>
      </c>
      <c r="T10" s="397">
        <f t="shared" si="6"/>
        <v>43827</v>
      </c>
      <c r="U10" s="397">
        <f t="shared" si="6"/>
        <v>46172</v>
      </c>
      <c r="V10" s="397">
        <f t="shared" si="6"/>
        <v>46925</v>
      </c>
      <c r="W10" s="397">
        <f t="shared" si="6"/>
        <v>49492</v>
      </c>
      <c r="X10" s="397">
        <f t="shared" si="6"/>
        <v>49704</v>
      </c>
      <c r="Y10" s="817">
        <f t="shared" si="6"/>
        <v>49916</v>
      </c>
      <c r="Z10" s="738"/>
    </row>
    <row r="11" spans="1:25" ht="18" customHeight="1">
      <c r="A11" s="400" t="s">
        <v>87</v>
      </c>
      <c r="B11" s="401">
        <v>29240</v>
      </c>
      <c r="C11" s="401">
        <v>26635</v>
      </c>
      <c r="D11" s="401">
        <v>27489</v>
      </c>
      <c r="E11" s="401">
        <v>27772</v>
      </c>
      <c r="F11" s="401">
        <v>28155</v>
      </c>
      <c r="G11" s="401">
        <v>29151</v>
      </c>
      <c r="H11" s="401">
        <v>30683</v>
      </c>
      <c r="I11" s="401">
        <v>31868</v>
      </c>
      <c r="J11" s="401">
        <v>33257</v>
      </c>
      <c r="K11" s="401">
        <v>34849</v>
      </c>
      <c r="L11" s="401">
        <v>36721</v>
      </c>
      <c r="M11" s="401">
        <v>38029</v>
      </c>
      <c r="N11" s="401">
        <v>39720</v>
      </c>
      <c r="O11" s="401">
        <v>40495</v>
      </c>
      <c r="P11" s="401">
        <v>42185</v>
      </c>
      <c r="Q11" s="401">
        <v>43243</v>
      </c>
      <c r="R11" s="401">
        <v>44414</v>
      </c>
      <c r="S11" s="401">
        <v>44888</v>
      </c>
      <c r="T11" s="401">
        <v>43827</v>
      </c>
      <c r="U11" s="401">
        <v>46172</v>
      </c>
      <c r="V11" s="401">
        <v>46925</v>
      </c>
      <c r="W11" s="401">
        <v>49492</v>
      </c>
      <c r="X11" s="401">
        <v>49704</v>
      </c>
      <c r="Y11" s="823">
        <v>49916</v>
      </c>
    </row>
    <row r="12" spans="1:26" s="52" customFormat="1" ht="18" customHeight="1">
      <c r="A12" s="400" t="s">
        <v>88</v>
      </c>
      <c r="B12" s="406" t="s">
        <v>90</v>
      </c>
      <c r="C12" s="406" t="s">
        <v>90</v>
      </c>
      <c r="D12" s="406" t="s">
        <v>90</v>
      </c>
      <c r="E12" s="406" t="s">
        <v>90</v>
      </c>
      <c r="F12" s="406" t="s">
        <v>90</v>
      </c>
      <c r="G12" s="406" t="s">
        <v>90</v>
      </c>
      <c r="H12" s="406" t="s">
        <v>90</v>
      </c>
      <c r="I12" s="406" t="s">
        <v>90</v>
      </c>
      <c r="J12" s="406" t="s">
        <v>90</v>
      </c>
      <c r="K12" s="406" t="s">
        <v>90</v>
      </c>
      <c r="L12" s="406" t="s">
        <v>90</v>
      </c>
      <c r="M12" s="406" t="s">
        <v>90</v>
      </c>
      <c r="N12" s="406" t="s">
        <v>90</v>
      </c>
      <c r="O12" s="406" t="s">
        <v>90</v>
      </c>
      <c r="P12" s="406" t="s">
        <v>90</v>
      </c>
      <c r="Q12" s="406" t="s">
        <v>90</v>
      </c>
      <c r="R12" s="406" t="s">
        <v>90</v>
      </c>
      <c r="S12" s="406" t="s">
        <v>90</v>
      </c>
      <c r="T12" s="406" t="s">
        <v>90</v>
      </c>
      <c r="U12" s="406" t="s">
        <v>90</v>
      </c>
      <c r="V12" s="406" t="s">
        <v>90</v>
      </c>
      <c r="W12" s="406" t="s">
        <v>90</v>
      </c>
      <c r="X12" s="406" t="s">
        <v>90</v>
      </c>
      <c r="Y12" s="953" t="s">
        <v>90</v>
      </c>
      <c r="Z12" s="419"/>
    </row>
    <row r="13" spans="1:26" ht="18" customHeight="1">
      <c r="A13" s="422" t="s">
        <v>91</v>
      </c>
      <c r="B13" s="397">
        <f>SUM(B14:B15)</f>
        <v>37312</v>
      </c>
      <c r="C13" s="397">
        <f aca="true" t="shared" si="7" ref="C13:S13">SUM(C14:C15)</f>
        <v>37249</v>
      </c>
      <c r="D13" s="397">
        <f t="shared" si="7"/>
        <v>38350</v>
      </c>
      <c r="E13" s="397">
        <f t="shared" si="7"/>
        <v>39655</v>
      </c>
      <c r="F13" s="397">
        <f t="shared" si="7"/>
        <v>41558</v>
      </c>
      <c r="G13" s="397">
        <f t="shared" si="7"/>
        <v>43167</v>
      </c>
      <c r="H13" s="397">
        <f t="shared" si="7"/>
        <v>43928</v>
      </c>
      <c r="I13" s="397">
        <f t="shared" si="7"/>
        <v>47281</v>
      </c>
      <c r="J13" s="397">
        <f t="shared" si="7"/>
        <v>48733</v>
      </c>
      <c r="K13" s="397">
        <f t="shared" si="7"/>
        <v>50277</v>
      </c>
      <c r="L13" s="397">
        <f t="shared" si="7"/>
        <v>52251</v>
      </c>
      <c r="M13" s="397">
        <f t="shared" si="7"/>
        <v>51801</v>
      </c>
      <c r="N13" s="397">
        <f t="shared" si="7"/>
        <v>54350</v>
      </c>
      <c r="O13" s="397">
        <f t="shared" si="7"/>
        <v>55992</v>
      </c>
      <c r="P13" s="397">
        <f t="shared" si="7"/>
        <v>57583</v>
      </c>
      <c r="Q13" s="397">
        <f t="shared" si="7"/>
        <v>59222</v>
      </c>
      <c r="R13" s="397">
        <f t="shared" si="7"/>
        <v>60418</v>
      </c>
      <c r="S13" s="397">
        <f t="shared" si="7"/>
        <v>60831</v>
      </c>
      <c r="T13" s="397">
        <f aca="true" t="shared" si="8" ref="T13:Y13">SUM(T14:T15)</f>
        <v>60267</v>
      </c>
      <c r="U13" s="397">
        <f t="shared" si="8"/>
        <v>62237</v>
      </c>
      <c r="V13" s="397">
        <f t="shared" si="8"/>
        <v>63982</v>
      </c>
      <c r="W13" s="397">
        <f t="shared" si="8"/>
        <v>66636</v>
      </c>
      <c r="X13" s="397">
        <f t="shared" si="8"/>
        <v>68164</v>
      </c>
      <c r="Y13" s="817">
        <f t="shared" si="8"/>
        <v>70536</v>
      </c>
      <c r="Z13" s="738"/>
    </row>
    <row r="14" spans="1:25" ht="18" customHeight="1">
      <c r="A14" s="400" t="s">
        <v>87</v>
      </c>
      <c r="B14" s="401">
        <v>36294</v>
      </c>
      <c r="C14" s="401">
        <v>36162</v>
      </c>
      <c r="D14" s="401">
        <v>37055</v>
      </c>
      <c r="E14" s="401">
        <v>38418</v>
      </c>
      <c r="F14" s="401">
        <v>40231</v>
      </c>
      <c r="G14" s="401">
        <v>41823</v>
      </c>
      <c r="H14" s="401">
        <v>41993</v>
      </c>
      <c r="I14" s="401">
        <v>45355</v>
      </c>
      <c r="J14" s="401">
        <v>46471</v>
      </c>
      <c r="K14" s="401">
        <v>47987</v>
      </c>
      <c r="L14" s="401">
        <v>49485</v>
      </c>
      <c r="M14" s="401">
        <v>49608</v>
      </c>
      <c r="N14" s="401">
        <v>50737</v>
      </c>
      <c r="O14" s="401">
        <v>51879</v>
      </c>
      <c r="P14" s="401">
        <v>52881</v>
      </c>
      <c r="Q14" s="401">
        <v>53524</v>
      </c>
      <c r="R14" s="401">
        <v>54138</v>
      </c>
      <c r="S14" s="401">
        <v>54005</v>
      </c>
      <c r="T14" s="401">
        <v>53479</v>
      </c>
      <c r="U14" s="401">
        <v>55163</v>
      </c>
      <c r="V14" s="401">
        <v>56627</v>
      </c>
      <c r="W14" s="401">
        <v>59423</v>
      </c>
      <c r="X14" s="401">
        <v>61074</v>
      </c>
      <c r="Y14" s="823">
        <v>63015</v>
      </c>
    </row>
    <row r="15" spans="1:26" s="52" customFormat="1" ht="18" customHeight="1">
      <c r="A15" s="400" t="s">
        <v>88</v>
      </c>
      <c r="B15" s="401">
        <v>1018</v>
      </c>
      <c r="C15" s="401">
        <v>1087</v>
      </c>
      <c r="D15" s="401">
        <v>1295</v>
      </c>
      <c r="E15" s="401">
        <v>1237</v>
      </c>
      <c r="F15" s="401">
        <v>1327</v>
      </c>
      <c r="G15" s="401">
        <v>1344</v>
      </c>
      <c r="H15" s="401">
        <v>1935</v>
      </c>
      <c r="I15" s="401">
        <v>1926</v>
      </c>
      <c r="J15" s="401">
        <v>2262</v>
      </c>
      <c r="K15" s="401">
        <v>2290</v>
      </c>
      <c r="L15" s="401">
        <v>2766</v>
      </c>
      <c r="M15" s="401">
        <f>1960+233</f>
        <v>2193</v>
      </c>
      <c r="N15" s="401">
        <v>3613</v>
      </c>
      <c r="O15" s="401">
        <v>4113</v>
      </c>
      <c r="P15" s="401">
        <v>4702</v>
      </c>
      <c r="Q15" s="401">
        <v>5698</v>
      </c>
      <c r="R15" s="401">
        <v>6280</v>
      </c>
      <c r="S15" s="401">
        <v>6826</v>
      </c>
      <c r="T15" s="401">
        <v>6788</v>
      </c>
      <c r="U15" s="401">
        <v>7074</v>
      </c>
      <c r="V15" s="401">
        <f>3627+3728</f>
        <v>7355</v>
      </c>
      <c r="W15" s="401">
        <v>7213</v>
      </c>
      <c r="X15" s="401">
        <v>7090</v>
      </c>
      <c r="Y15" s="823">
        <f>4692+2829</f>
        <v>7521</v>
      </c>
      <c r="Z15" s="419"/>
    </row>
    <row r="16" spans="1:26" ht="18" customHeight="1">
      <c r="A16" s="422" t="s">
        <v>92</v>
      </c>
      <c r="B16" s="397">
        <f>SUM(B17:B18)</f>
        <v>54575</v>
      </c>
      <c r="C16" s="397">
        <f aca="true" t="shared" si="9" ref="C16:I16">SUM(C17:C18)</f>
        <v>54039</v>
      </c>
      <c r="D16" s="397">
        <f t="shared" si="9"/>
        <v>54140</v>
      </c>
      <c r="E16" s="397">
        <f t="shared" si="9"/>
        <v>56181</v>
      </c>
      <c r="F16" s="397">
        <f t="shared" si="9"/>
        <v>58997</v>
      </c>
      <c r="G16" s="397">
        <f t="shared" si="9"/>
        <v>62562</v>
      </c>
      <c r="H16" s="397">
        <f t="shared" si="9"/>
        <v>65745</v>
      </c>
      <c r="I16" s="397">
        <f t="shared" si="9"/>
        <v>67517</v>
      </c>
      <c r="J16" s="397">
        <f>SUM(J17:J18)</f>
        <v>68876</v>
      </c>
      <c r="K16" s="397">
        <f>SUM(K17:K18)</f>
        <v>69783</v>
      </c>
      <c r="L16" s="397">
        <f>SUM(L17:L18)</f>
        <v>71878</v>
      </c>
      <c r="M16" s="397">
        <f>SUM(M17:M18)</f>
        <v>72521</v>
      </c>
      <c r="N16" s="397">
        <f aca="true" t="shared" si="10" ref="N16:S16">SUM(N17:N18)</f>
        <v>74773</v>
      </c>
      <c r="O16" s="397">
        <f t="shared" si="10"/>
        <v>75086</v>
      </c>
      <c r="P16" s="397">
        <f t="shared" si="10"/>
        <v>76576</v>
      </c>
      <c r="Q16" s="397">
        <f t="shared" si="10"/>
        <v>77960</v>
      </c>
      <c r="R16" s="397">
        <f t="shared" si="10"/>
        <v>78730</v>
      </c>
      <c r="S16" s="397">
        <f t="shared" si="10"/>
        <v>78729</v>
      </c>
      <c r="T16" s="397">
        <f aca="true" t="shared" si="11" ref="T16:Y16">SUM(T17:T18)</f>
        <v>78879</v>
      </c>
      <c r="U16" s="397">
        <f t="shared" si="11"/>
        <v>82866</v>
      </c>
      <c r="V16" s="397">
        <f t="shared" si="11"/>
        <v>85476</v>
      </c>
      <c r="W16" s="397">
        <f t="shared" si="11"/>
        <v>87868</v>
      </c>
      <c r="X16" s="397">
        <f t="shared" si="11"/>
        <v>88563</v>
      </c>
      <c r="Y16" s="817">
        <f t="shared" si="11"/>
        <v>89237</v>
      </c>
      <c r="Z16" s="738"/>
    </row>
    <row r="17" spans="1:25" ht="18" customHeight="1">
      <c r="A17" s="400" t="s">
        <v>87</v>
      </c>
      <c r="B17" s="401">
        <v>50850</v>
      </c>
      <c r="C17" s="401">
        <v>50073</v>
      </c>
      <c r="D17" s="401">
        <v>50264</v>
      </c>
      <c r="E17" s="401">
        <v>51869</v>
      </c>
      <c r="F17" s="401">
        <v>53743</v>
      </c>
      <c r="G17" s="401">
        <v>56595</v>
      </c>
      <c r="H17" s="401">
        <v>57998</v>
      </c>
      <c r="I17" s="401">
        <v>59051</v>
      </c>
      <c r="J17" s="401">
        <v>59795</v>
      </c>
      <c r="K17" s="401">
        <v>60346</v>
      </c>
      <c r="L17" s="401">
        <v>60568</v>
      </c>
      <c r="M17" s="401">
        <v>60168</v>
      </c>
      <c r="N17" s="401">
        <v>59520</v>
      </c>
      <c r="O17" s="401">
        <v>58515</v>
      </c>
      <c r="P17" s="401">
        <v>58694</v>
      </c>
      <c r="Q17" s="401">
        <v>58890</v>
      </c>
      <c r="R17" s="401">
        <v>58561</v>
      </c>
      <c r="S17" s="401">
        <v>58460</v>
      </c>
      <c r="T17" s="401">
        <v>57907</v>
      </c>
      <c r="U17" s="401">
        <v>60116</v>
      </c>
      <c r="V17" s="401">
        <v>59918</v>
      </c>
      <c r="W17" s="401">
        <v>61245</v>
      </c>
      <c r="X17" s="401">
        <v>60599</v>
      </c>
      <c r="Y17" s="823">
        <v>59820</v>
      </c>
    </row>
    <row r="18" spans="1:26" s="52" customFormat="1" ht="18" customHeight="1">
      <c r="A18" s="400" t="s">
        <v>88</v>
      </c>
      <c r="B18" s="401">
        <v>3725</v>
      </c>
      <c r="C18" s="401">
        <v>3966</v>
      </c>
      <c r="D18" s="401">
        <v>3876</v>
      </c>
      <c r="E18" s="401">
        <v>4312</v>
      </c>
      <c r="F18" s="401">
        <v>5254</v>
      </c>
      <c r="G18" s="401">
        <v>5967</v>
      </c>
      <c r="H18" s="401">
        <v>7747</v>
      </c>
      <c r="I18" s="401">
        <v>8466</v>
      </c>
      <c r="J18" s="401">
        <v>9081</v>
      </c>
      <c r="K18" s="401">
        <v>9437</v>
      </c>
      <c r="L18" s="401">
        <v>11310</v>
      </c>
      <c r="M18" s="401">
        <v>12353</v>
      </c>
      <c r="N18" s="401">
        <v>15253</v>
      </c>
      <c r="O18" s="401">
        <v>16571</v>
      </c>
      <c r="P18" s="401">
        <v>17882</v>
      </c>
      <c r="Q18" s="401">
        <v>19070</v>
      </c>
      <c r="R18" s="401">
        <v>20169</v>
      </c>
      <c r="S18" s="401">
        <v>20269</v>
      </c>
      <c r="T18" s="401">
        <v>20972</v>
      </c>
      <c r="U18" s="401">
        <v>22750</v>
      </c>
      <c r="V18" s="401">
        <v>25558</v>
      </c>
      <c r="W18" s="401">
        <v>26623</v>
      </c>
      <c r="X18" s="401">
        <v>27964</v>
      </c>
      <c r="Y18" s="823">
        <f>13688+15729</f>
        <v>29417</v>
      </c>
      <c r="Z18" s="419"/>
    </row>
    <row r="19" spans="1:26" ht="18" customHeight="1">
      <c r="A19" s="422" t="s">
        <v>93</v>
      </c>
      <c r="B19" s="397">
        <f>SUM(B20:B21)</f>
        <v>13045</v>
      </c>
      <c r="C19" s="397">
        <f aca="true" t="shared" si="12" ref="C19:I19">SUM(C20:C21)</f>
        <v>12855</v>
      </c>
      <c r="D19" s="397">
        <f t="shared" si="12"/>
        <v>13954</v>
      </c>
      <c r="E19" s="397">
        <f t="shared" si="12"/>
        <v>14415</v>
      </c>
      <c r="F19" s="397">
        <f t="shared" si="12"/>
        <v>14695</v>
      </c>
      <c r="G19" s="397">
        <f t="shared" si="12"/>
        <v>15373</v>
      </c>
      <c r="H19" s="397">
        <f t="shared" si="12"/>
        <v>16078</v>
      </c>
      <c r="I19" s="397">
        <f t="shared" si="12"/>
        <v>16702</v>
      </c>
      <c r="J19" s="397">
        <f>SUM(J20:J21)</f>
        <v>17025</v>
      </c>
      <c r="K19" s="397">
        <f>SUM(K20:K21)</f>
        <v>17535</v>
      </c>
      <c r="L19" s="397">
        <f>SUM(L20:L21)</f>
        <v>18202</v>
      </c>
      <c r="M19" s="397">
        <f>SUM(M20:M21)</f>
        <v>18412</v>
      </c>
      <c r="N19" s="397">
        <f aca="true" t="shared" si="13" ref="N19:S19">SUM(N20:N21)</f>
        <v>18352</v>
      </c>
      <c r="O19" s="397">
        <f t="shared" si="13"/>
        <v>19134</v>
      </c>
      <c r="P19" s="397">
        <f t="shared" si="13"/>
        <v>20221</v>
      </c>
      <c r="Q19" s="397">
        <f t="shared" si="13"/>
        <v>20781</v>
      </c>
      <c r="R19" s="397">
        <f t="shared" si="13"/>
        <v>21378</v>
      </c>
      <c r="S19" s="397">
        <f t="shared" si="13"/>
        <v>21200</v>
      </c>
      <c r="T19" s="397">
        <f aca="true" t="shared" si="14" ref="T19:Y19">SUM(T20:T21)</f>
        <v>21218</v>
      </c>
      <c r="U19" s="397">
        <f t="shared" si="14"/>
        <v>21729</v>
      </c>
      <c r="V19" s="397">
        <f t="shared" si="14"/>
        <v>21425</v>
      </c>
      <c r="W19" s="397">
        <f t="shared" si="14"/>
        <v>22579</v>
      </c>
      <c r="X19" s="397">
        <f t="shared" si="14"/>
        <v>22837</v>
      </c>
      <c r="Y19" s="817">
        <f t="shared" si="14"/>
        <v>23571</v>
      </c>
      <c r="Z19" s="738"/>
    </row>
    <row r="20" spans="1:25" ht="18" customHeight="1">
      <c r="A20" s="400" t="s">
        <v>87</v>
      </c>
      <c r="B20" s="401">
        <v>12094</v>
      </c>
      <c r="C20" s="401">
        <v>11936</v>
      </c>
      <c r="D20" s="401">
        <v>13024</v>
      </c>
      <c r="E20" s="401">
        <v>13432</v>
      </c>
      <c r="F20" s="401">
        <v>13673</v>
      </c>
      <c r="G20" s="401">
        <v>14127</v>
      </c>
      <c r="H20" s="401">
        <v>14615</v>
      </c>
      <c r="I20" s="401">
        <v>15062</v>
      </c>
      <c r="J20" s="423">
        <v>15353</v>
      </c>
      <c r="K20" s="423">
        <v>15721</v>
      </c>
      <c r="L20" s="423">
        <v>16075</v>
      </c>
      <c r="M20" s="423">
        <v>16094</v>
      </c>
      <c r="N20" s="423">
        <v>15809</v>
      </c>
      <c r="O20" s="401">
        <v>16105</v>
      </c>
      <c r="P20" s="401">
        <v>16749</v>
      </c>
      <c r="Q20" s="401">
        <v>17021</v>
      </c>
      <c r="R20" s="401">
        <v>17404</v>
      </c>
      <c r="S20" s="401">
        <v>16961</v>
      </c>
      <c r="T20" s="401">
        <v>16663</v>
      </c>
      <c r="U20" s="401">
        <v>16878</v>
      </c>
      <c r="V20" s="401">
        <v>17024</v>
      </c>
      <c r="W20" s="401">
        <v>17333</v>
      </c>
      <c r="X20" s="401">
        <v>17314</v>
      </c>
      <c r="Y20" s="823">
        <v>17600</v>
      </c>
    </row>
    <row r="21" spans="1:25" ht="18" customHeight="1">
      <c r="A21" s="400" t="s">
        <v>88</v>
      </c>
      <c r="B21" s="401">
        <v>951</v>
      </c>
      <c r="C21" s="401">
        <v>919</v>
      </c>
      <c r="D21" s="401">
        <v>930</v>
      </c>
      <c r="E21" s="401">
        <v>983</v>
      </c>
      <c r="F21" s="401">
        <v>1022</v>
      </c>
      <c r="G21" s="401">
        <v>1246</v>
      </c>
      <c r="H21" s="401">
        <v>1463</v>
      </c>
      <c r="I21" s="401">
        <v>1640</v>
      </c>
      <c r="J21" s="401">
        <v>1672</v>
      </c>
      <c r="K21" s="401">
        <v>1814</v>
      </c>
      <c r="L21" s="401">
        <v>2127</v>
      </c>
      <c r="M21" s="401">
        <v>2318</v>
      </c>
      <c r="N21" s="401">
        <v>2543</v>
      </c>
      <c r="O21" s="401">
        <v>3029</v>
      </c>
      <c r="P21" s="401">
        <v>3472</v>
      </c>
      <c r="Q21" s="401">
        <v>3760</v>
      </c>
      <c r="R21" s="401">
        <v>3974</v>
      </c>
      <c r="S21" s="401">
        <v>4239</v>
      </c>
      <c r="T21" s="401">
        <v>4555</v>
      </c>
      <c r="U21" s="401">
        <v>4851</v>
      </c>
      <c r="V21" s="401">
        <f>2623+1778</f>
        <v>4401</v>
      </c>
      <c r="W21" s="401">
        <v>5246</v>
      </c>
      <c r="X21" s="401">
        <v>5523</v>
      </c>
      <c r="Y21" s="823">
        <f>3979+1992</f>
        <v>5971</v>
      </c>
    </row>
    <row r="22" spans="1:26" ht="12.75">
      <c r="A22" s="740"/>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72"/>
      <c r="Z22" s="65"/>
    </row>
    <row r="23" spans="1:26" ht="12.75">
      <c r="A23" s="730"/>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72"/>
      <c r="Z23" s="65"/>
    </row>
    <row r="24" spans="1:26" ht="12.75">
      <c r="A24" s="741"/>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72"/>
      <c r="Z24" s="65"/>
    </row>
    <row r="25" spans="1:25" ht="12" customHeight="1">
      <c r="A25" s="53" t="s">
        <v>59</v>
      </c>
      <c r="B25" s="53"/>
      <c r="C25" s="409"/>
      <c r="D25" s="409"/>
      <c r="E25" s="409"/>
      <c r="F25" s="409"/>
      <c r="G25" s="409"/>
      <c r="H25" s="409"/>
      <c r="I25" s="409"/>
      <c r="J25" s="409"/>
      <c r="K25" s="409"/>
      <c r="L25" s="409"/>
      <c r="M25" s="409"/>
      <c r="N25" s="409"/>
      <c r="O25" s="409"/>
      <c r="P25" s="409"/>
      <c r="Q25" s="409"/>
      <c r="R25" s="409"/>
      <c r="S25" s="409"/>
      <c r="T25" s="409"/>
      <c r="U25" s="409"/>
      <c r="V25" s="409"/>
      <c r="W25" s="409"/>
      <c r="X25" s="409"/>
      <c r="Y25" s="954"/>
    </row>
    <row r="26" spans="1:26" ht="12.75">
      <c r="A26" s="1118" t="s">
        <v>792</v>
      </c>
      <c r="B26" s="1118"/>
      <c r="C26" s="1118"/>
      <c r="D26" s="1118"/>
      <c r="E26" s="1118"/>
      <c r="F26" s="1118"/>
      <c r="G26" s="1118"/>
      <c r="H26" s="1118"/>
      <c r="I26" s="1118"/>
      <c r="J26" s="1118"/>
      <c r="K26" s="1118"/>
      <c r="L26" s="1118"/>
      <c r="M26" s="1118"/>
      <c r="N26" s="1118"/>
      <c r="O26" s="1118"/>
      <c r="P26" s="1118"/>
      <c r="Q26" s="1118"/>
      <c r="R26" s="1118"/>
      <c r="S26" s="1118"/>
      <c r="T26" s="1118"/>
      <c r="U26" s="1118"/>
      <c r="V26" s="1118"/>
      <c r="W26" s="1118"/>
      <c r="X26" s="1118"/>
      <c r="Y26" s="1118"/>
      <c r="Z26" s="65"/>
    </row>
    <row r="27" spans="1:26" ht="12.75">
      <c r="A27" s="1118" t="s">
        <v>793</v>
      </c>
      <c r="B27" s="1118"/>
      <c r="C27" s="1118"/>
      <c r="D27" s="1118"/>
      <c r="E27" s="1118"/>
      <c r="F27" s="1118"/>
      <c r="G27" s="1118"/>
      <c r="H27" s="1118"/>
      <c r="I27" s="1118"/>
      <c r="J27" s="1118"/>
      <c r="K27" s="1118"/>
      <c r="L27" s="1118"/>
      <c r="M27" s="1118"/>
      <c r="N27" s="1118"/>
      <c r="O27" s="1118"/>
      <c r="P27" s="1118"/>
      <c r="Q27" s="1118"/>
      <c r="R27" s="1118"/>
      <c r="S27" s="1118"/>
      <c r="T27" s="1118"/>
      <c r="U27" s="1118"/>
      <c r="V27" s="1118"/>
      <c r="W27" s="1118"/>
      <c r="X27" s="1118"/>
      <c r="Y27" s="1118"/>
      <c r="Z27" s="65"/>
    </row>
    <row r="28" ht="12.75">
      <c r="Z28" s="65"/>
    </row>
    <row r="31" spans="1:24" ht="12.75">
      <c r="A31" s="419"/>
      <c r="B31" s="419"/>
      <c r="C31" s="419"/>
      <c r="D31" s="419"/>
      <c r="E31" s="419"/>
      <c r="F31" s="419"/>
      <c r="G31" s="419"/>
      <c r="H31" s="419"/>
      <c r="I31" s="419"/>
      <c r="J31" s="419"/>
      <c r="K31" s="419"/>
      <c r="L31" s="419"/>
      <c r="M31" s="419"/>
      <c r="N31" s="419"/>
      <c r="O31" s="419"/>
      <c r="P31" s="419"/>
      <c r="Q31" s="419"/>
      <c r="R31" s="419"/>
      <c r="S31" s="419"/>
      <c r="T31" s="419"/>
      <c r="U31" s="419"/>
      <c r="V31" s="419"/>
      <c r="W31" s="419"/>
      <c r="X31" s="419"/>
    </row>
    <row r="32" ht="12.75">
      <c r="Z32" s="65"/>
    </row>
    <row r="34" ht="12.75">
      <c r="Z34" s="65"/>
    </row>
    <row r="37" s="419" customFormat="1" ht="12.75">
      <c r="Y37" s="753"/>
    </row>
    <row r="38" s="419" customFormat="1" ht="12.75">
      <c r="Y38" s="753"/>
    </row>
  </sheetData>
  <sheetProtection/>
  <mergeCells count="5">
    <mergeCell ref="A1:Y1"/>
    <mergeCell ref="A3:Y3"/>
    <mergeCell ref="A4:Y4"/>
    <mergeCell ref="A26:Y26"/>
    <mergeCell ref="A27:Y27"/>
  </mergeCells>
  <printOptions horizontalCentered="1"/>
  <pageMargins left="0.7874015748031497" right="0.7874015748031497" top="0.984251968503937" bottom="0.984251968503937" header="0" footer="0"/>
  <pageSetup fitToHeight="1" fitToWidth="1" horizontalDpi="600" verticalDpi="600" orientation="landscape" scale="42" r:id="rId1"/>
</worksheet>
</file>

<file path=xl/worksheets/sheet7.xml><?xml version="1.0" encoding="utf-8"?>
<worksheet xmlns="http://schemas.openxmlformats.org/spreadsheetml/2006/main" xmlns:r="http://schemas.openxmlformats.org/officeDocument/2006/relationships">
  <sheetPr>
    <tabColor theme="9" tint="-0.24997000396251678"/>
    <pageSetUpPr fitToPage="1"/>
  </sheetPr>
  <dimension ref="A1:AK40"/>
  <sheetViews>
    <sheetView zoomScale="85" zoomScaleNormal="85" zoomScalePageLayoutView="0" workbookViewId="0" topLeftCell="A1">
      <pane xSplit="2" ySplit="7" topLeftCell="G8" activePane="bottomRight" state="frozen"/>
      <selection pane="topLeft" activeCell="A1" sqref="A1"/>
      <selection pane="topRight" activeCell="C1" sqref="C1"/>
      <selection pane="bottomLeft" activeCell="A8" sqref="A8"/>
      <selection pane="bottomRight" activeCell="S19" sqref="S19"/>
    </sheetView>
  </sheetViews>
  <sheetFormatPr defaultColWidth="11.421875" defaultRowHeight="12.75"/>
  <cols>
    <col min="1" max="1" width="34.7109375" style="65" customWidth="1"/>
    <col min="2" max="2" width="0" style="65" hidden="1" customWidth="1"/>
    <col min="3" max="18" width="10.8515625" style="65" customWidth="1"/>
    <col min="19" max="21" width="10.8515625" style="419" customWidth="1"/>
    <col min="22" max="22" width="10.8515625" style="65" customWidth="1"/>
    <col min="23" max="23" width="11.421875" style="65" customWidth="1"/>
    <col min="24" max="24" width="10.8515625" style="65" customWidth="1"/>
    <col min="25" max="25" width="11.421875" style="65" customWidth="1"/>
    <col min="26" max="26" width="11.421875" style="1046" customWidth="1"/>
    <col min="27" max="27" width="10.8515625" style="753" customWidth="1"/>
    <col min="28" max="16384" width="10.8515625" style="65" customWidth="1"/>
  </cols>
  <sheetData>
    <row r="1" spans="1:27" ht="12.75">
      <c r="A1" s="1115" t="s">
        <v>94</v>
      </c>
      <c r="B1" s="1115"/>
      <c r="C1" s="1115"/>
      <c r="D1" s="1115"/>
      <c r="E1" s="1115"/>
      <c r="F1" s="1115"/>
      <c r="G1" s="1115"/>
      <c r="H1" s="1115"/>
      <c r="I1" s="1115"/>
      <c r="J1" s="1115"/>
      <c r="K1" s="1115"/>
      <c r="L1" s="1115"/>
      <c r="M1" s="1115"/>
      <c r="N1" s="1115"/>
      <c r="O1" s="1115"/>
      <c r="P1" s="1115"/>
      <c r="Q1" s="1115"/>
      <c r="R1" s="1115"/>
      <c r="S1" s="1115"/>
      <c r="T1" s="1115"/>
      <c r="U1" s="1115"/>
      <c r="V1" s="1115"/>
      <c r="W1" s="1115"/>
      <c r="X1" s="1115"/>
      <c r="Y1" s="1115"/>
      <c r="Z1" s="1115"/>
      <c r="AA1" s="1115"/>
    </row>
    <row r="3" spans="1:27" s="371" customFormat="1" ht="18" customHeight="1">
      <c r="A3" s="1116" t="s">
        <v>5</v>
      </c>
      <c r="B3" s="1116"/>
      <c r="C3" s="1116"/>
      <c r="D3" s="1116"/>
      <c r="E3" s="1116"/>
      <c r="F3" s="1116"/>
      <c r="G3" s="1116"/>
      <c r="H3" s="1116"/>
      <c r="I3" s="1116"/>
      <c r="J3" s="1116"/>
      <c r="K3" s="1116"/>
      <c r="L3" s="1116"/>
      <c r="M3" s="1116"/>
      <c r="N3" s="1116"/>
      <c r="O3" s="1116"/>
      <c r="P3" s="1116"/>
      <c r="Q3" s="1116"/>
      <c r="R3" s="1116"/>
      <c r="S3" s="1116"/>
      <c r="T3" s="1116"/>
      <c r="U3" s="1116"/>
      <c r="V3" s="1116"/>
      <c r="W3" s="1116"/>
      <c r="X3" s="1116"/>
      <c r="Y3" s="1116"/>
      <c r="Z3" s="1116"/>
      <c r="AA3" s="1116"/>
    </row>
    <row r="4" spans="1:27" s="392" customFormat="1" ht="18" customHeight="1">
      <c r="A4" s="1117" t="s">
        <v>848</v>
      </c>
      <c r="B4" s="1117"/>
      <c r="C4" s="1117"/>
      <c r="D4" s="1117"/>
      <c r="E4" s="1117"/>
      <c r="F4" s="1117"/>
      <c r="G4" s="1117"/>
      <c r="H4" s="1117"/>
      <c r="I4" s="1117"/>
      <c r="J4" s="1117"/>
      <c r="K4" s="1117"/>
      <c r="L4" s="1117"/>
      <c r="M4" s="1117"/>
      <c r="N4" s="1117"/>
      <c r="O4" s="1117"/>
      <c r="P4" s="1117"/>
      <c r="Q4" s="1117"/>
      <c r="R4" s="1117"/>
      <c r="S4" s="1117"/>
      <c r="T4" s="1117"/>
      <c r="U4" s="1117"/>
      <c r="V4" s="1117"/>
      <c r="W4" s="1117"/>
      <c r="X4" s="1117"/>
      <c r="Y4" s="1117"/>
      <c r="Z4" s="1117"/>
      <c r="AA4" s="1117"/>
    </row>
    <row r="5" spans="2:27" ht="18" customHeight="1">
      <c r="B5" s="393"/>
      <c r="C5" s="393"/>
      <c r="D5" s="393"/>
      <c r="E5" s="393"/>
      <c r="F5" s="393"/>
      <c r="G5" s="393"/>
      <c r="H5" s="393"/>
      <c r="I5" s="393"/>
      <c r="J5" s="393"/>
      <c r="K5" s="424"/>
      <c r="L5" s="424"/>
      <c r="M5" s="424"/>
      <c r="N5" s="424"/>
      <c r="O5" s="424"/>
      <c r="P5" s="424"/>
      <c r="Q5" s="424"/>
      <c r="R5" s="424"/>
      <c r="S5" s="425"/>
      <c r="T5" s="425"/>
      <c r="U5" s="425"/>
      <c r="V5" s="424"/>
      <c r="W5" s="424"/>
      <c r="X5" s="424"/>
      <c r="Y5" s="424"/>
      <c r="Z5" s="424"/>
      <c r="AA5" s="925"/>
    </row>
    <row r="6" spans="1:27" s="52" customFormat="1" ht="18" customHeight="1">
      <c r="A6" s="394"/>
      <c r="B6" s="426" t="s">
        <v>95</v>
      </c>
      <c r="C6" s="395" t="s">
        <v>40</v>
      </c>
      <c r="D6" s="395" t="s">
        <v>41</v>
      </c>
      <c r="E6" s="395" t="s">
        <v>42</v>
      </c>
      <c r="F6" s="395" t="s">
        <v>43</v>
      </c>
      <c r="G6" s="395" t="s">
        <v>44</v>
      </c>
      <c r="H6" s="395" t="s">
        <v>45</v>
      </c>
      <c r="I6" s="395" t="s">
        <v>46</v>
      </c>
      <c r="J6" s="395" t="s">
        <v>47</v>
      </c>
      <c r="K6" s="395" t="s">
        <v>48</v>
      </c>
      <c r="L6" s="395" t="s">
        <v>49</v>
      </c>
      <c r="M6" s="395" t="s">
        <v>50</v>
      </c>
      <c r="N6" s="395" t="s">
        <v>51</v>
      </c>
      <c r="O6" s="395" t="s">
        <v>52</v>
      </c>
      <c r="P6" s="395" t="s">
        <v>53</v>
      </c>
      <c r="Q6" s="395" t="s">
        <v>54</v>
      </c>
      <c r="R6" s="395" t="s">
        <v>55</v>
      </c>
      <c r="S6" s="395" t="s">
        <v>513</v>
      </c>
      <c r="T6" s="395" t="s">
        <v>542</v>
      </c>
      <c r="U6" s="395" t="s">
        <v>562</v>
      </c>
      <c r="V6" s="395" t="s">
        <v>651</v>
      </c>
      <c r="W6" s="395" t="s">
        <v>663</v>
      </c>
      <c r="X6" s="395" t="s">
        <v>690</v>
      </c>
      <c r="Y6" s="395" t="s">
        <v>733</v>
      </c>
      <c r="Z6" s="395" t="s">
        <v>784</v>
      </c>
      <c r="AA6" s="1047" t="s">
        <v>845</v>
      </c>
    </row>
    <row r="7" spans="1:28" ht="18" customHeight="1">
      <c r="A7" s="396" t="s">
        <v>68</v>
      </c>
      <c r="B7" s="427">
        <f aca="true" t="shared" si="0" ref="B7:K7">SUM(B13,B16)</f>
        <v>102674</v>
      </c>
      <c r="C7" s="397">
        <f t="shared" si="0"/>
        <v>100926</v>
      </c>
      <c r="D7" s="397">
        <f t="shared" si="0"/>
        <v>95372</v>
      </c>
      <c r="E7" s="397">
        <f t="shared" si="0"/>
        <v>96798</v>
      </c>
      <c r="F7" s="397">
        <f t="shared" si="0"/>
        <v>100111</v>
      </c>
      <c r="G7" s="397">
        <f t="shared" si="0"/>
        <v>104554</v>
      </c>
      <c r="H7" s="397">
        <f t="shared" si="0"/>
        <v>105972</v>
      </c>
      <c r="I7" s="397">
        <f t="shared" si="0"/>
        <v>106913</v>
      </c>
      <c r="J7" s="397">
        <f t="shared" si="0"/>
        <v>106298</v>
      </c>
      <c r="K7" s="397">
        <f t="shared" si="0"/>
        <v>107447</v>
      </c>
      <c r="L7" s="397">
        <f>SUM(L13,L16)</f>
        <v>107848</v>
      </c>
      <c r="M7" s="397">
        <f>SUM(M13,M16)</f>
        <v>108699</v>
      </c>
      <c r="N7" s="397">
        <v>109530</v>
      </c>
      <c r="O7" s="397">
        <f aca="true" t="shared" si="1" ref="O7:AA7">SUM(O9,O11)</f>
        <v>110119</v>
      </c>
      <c r="P7" s="397">
        <f t="shared" si="1"/>
        <v>111982</v>
      </c>
      <c r="Q7" s="397">
        <f t="shared" si="1"/>
        <v>113179</v>
      </c>
      <c r="R7" s="397">
        <f t="shared" si="1"/>
        <v>112576</v>
      </c>
      <c r="S7" s="397">
        <f t="shared" si="1"/>
        <v>112229</v>
      </c>
      <c r="T7" s="397">
        <f t="shared" si="1"/>
        <v>112624</v>
      </c>
      <c r="U7" s="397">
        <f>SUM(U9,U11)</f>
        <v>114116</v>
      </c>
      <c r="V7" s="397">
        <f>SUM(V9,V11)</f>
        <v>112588</v>
      </c>
      <c r="W7" s="397">
        <f>SUM(W9,W11)</f>
        <v>111569</v>
      </c>
      <c r="X7" s="397">
        <f>SUM(X9,X11)</f>
        <v>108802</v>
      </c>
      <c r="Y7" s="397">
        <f>SUM(Y9,Y11)</f>
        <v>106574</v>
      </c>
      <c r="Z7" s="397">
        <f>SUM(Z9,Z11)</f>
        <v>106863</v>
      </c>
      <c r="AA7" s="1048">
        <f t="shared" si="1"/>
        <v>107061</v>
      </c>
      <c r="AB7" s="428"/>
    </row>
    <row r="8" spans="1:27" s="52" customFormat="1" ht="18" customHeight="1">
      <c r="A8" s="429" t="s">
        <v>69</v>
      </c>
      <c r="B8" s="399">
        <v>0.4913317879891696</v>
      </c>
      <c r="C8" s="399">
        <v>0.4949467926996017</v>
      </c>
      <c r="D8" s="399">
        <v>0.5020341399991611</v>
      </c>
      <c r="E8" s="399">
        <v>0.5073761854583773</v>
      </c>
      <c r="F8" s="399">
        <v>0.5141293164587308</v>
      </c>
      <c r="G8" s="399">
        <v>0.5174264016680375</v>
      </c>
      <c r="H8" s="399">
        <v>0.5105216472275695</v>
      </c>
      <c r="I8" s="399">
        <v>0.5066923573372742</v>
      </c>
      <c r="J8" s="399">
        <v>0.503</v>
      </c>
      <c r="K8" s="399">
        <v>0.502</v>
      </c>
      <c r="L8" s="399">
        <v>0.51</v>
      </c>
      <c r="M8" s="399">
        <v>0.508</v>
      </c>
      <c r="N8" s="399">
        <v>0.506</v>
      </c>
      <c r="O8" s="399">
        <v>0.503</v>
      </c>
      <c r="P8" s="399">
        <v>0.503</v>
      </c>
      <c r="Q8" s="399">
        <v>0.497</v>
      </c>
      <c r="R8" s="399">
        <v>0.495</v>
      </c>
      <c r="S8" s="399">
        <v>0.495</v>
      </c>
      <c r="T8" s="399">
        <v>0.495</v>
      </c>
      <c r="U8" s="399">
        <v>0.4998</v>
      </c>
      <c r="V8" s="399">
        <v>0.4998</v>
      </c>
      <c r="W8" s="399">
        <v>0.503</v>
      </c>
      <c r="X8" s="399">
        <v>0.5017</v>
      </c>
      <c r="Y8" s="399">
        <v>0.5017</v>
      </c>
      <c r="Z8" s="399">
        <v>0.5032</v>
      </c>
      <c r="AA8" s="1049">
        <v>0.491</v>
      </c>
    </row>
    <row r="9" spans="1:29" ht="18" customHeight="1">
      <c r="A9" s="400" t="s">
        <v>96</v>
      </c>
      <c r="B9" s="430">
        <v>53343</v>
      </c>
      <c r="C9" s="401">
        <v>54793</v>
      </c>
      <c r="D9" s="401">
        <v>50936</v>
      </c>
      <c r="E9" s="401">
        <v>51347</v>
      </c>
      <c r="F9" s="401">
        <v>53539</v>
      </c>
      <c r="G9" s="401">
        <v>55570</v>
      </c>
      <c r="H9" s="401">
        <v>56441</v>
      </c>
      <c r="I9" s="401">
        <v>56555</v>
      </c>
      <c r="J9" s="401">
        <v>55985</v>
      </c>
      <c r="K9" s="401">
        <v>56602</v>
      </c>
      <c r="L9" s="401">
        <v>56411</v>
      </c>
      <c r="M9" s="401">
        <v>56292</v>
      </c>
      <c r="N9" s="401">
        <v>56953</v>
      </c>
      <c r="O9" s="401">
        <f aca="true" t="shared" si="2" ref="O9:AA9">SUM(O14,O17)</f>
        <v>57675</v>
      </c>
      <c r="P9" s="401">
        <f t="shared" si="2"/>
        <v>59356</v>
      </c>
      <c r="Q9" s="401">
        <f t="shared" si="2"/>
        <v>60041</v>
      </c>
      <c r="R9" s="401">
        <f t="shared" si="2"/>
        <v>59461</v>
      </c>
      <c r="S9" s="401">
        <f t="shared" si="2"/>
        <v>59350</v>
      </c>
      <c r="T9" s="401">
        <f t="shared" si="2"/>
        <v>58587</v>
      </c>
      <c r="U9" s="401">
        <f>SUM(U14,U17)</f>
        <v>59568</v>
      </c>
      <c r="V9" s="401">
        <f>SUM(V14,V17)</f>
        <v>58641</v>
      </c>
      <c r="W9" s="401">
        <f>SUM(W14,W17)</f>
        <v>58525</v>
      </c>
      <c r="X9" s="401">
        <f>SUM(X14,X17)</f>
        <v>57376</v>
      </c>
      <c r="Y9" s="401">
        <f>SUM(Y14,Y17)</f>
        <v>56032</v>
      </c>
      <c r="Z9" s="1043">
        <f>SUM(Z14,Z17)</f>
        <v>56990</v>
      </c>
      <c r="AA9" s="1050">
        <f t="shared" si="2"/>
        <v>56997</v>
      </c>
      <c r="AC9" s="431"/>
    </row>
    <row r="10" spans="1:30" ht="18" customHeight="1">
      <c r="A10" s="400" t="s">
        <v>69</v>
      </c>
      <c r="B10" s="403">
        <v>0.4919295877622181</v>
      </c>
      <c r="C10" s="403">
        <v>0.49814757359516726</v>
      </c>
      <c r="D10" s="403">
        <v>0.5109352913460028</v>
      </c>
      <c r="E10" s="403">
        <v>0.5183749780902487</v>
      </c>
      <c r="F10" s="403">
        <v>0.5255234501951849</v>
      </c>
      <c r="G10" s="403">
        <v>0.5273348929278387</v>
      </c>
      <c r="H10" s="403">
        <v>0.5195691075636505</v>
      </c>
      <c r="I10" s="403">
        <v>0.5144195915480506</v>
      </c>
      <c r="J10" s="403">
        <v>0.510118781816558</v>
      </c>
      <c r="K10" s="403">
        <v>0.511</v>
      </c>
      <c r="L10" s="403">
        <v>0.517</v>
      </c>
      <c r="M10" s="403">
        <v>0.515</v>
      </c>
      <c r="N10" s="403">
        <v>0.511</v>
      </c>
      <c r="O10" s="403">
        <v>0.507</v>
      </c>
      <c r="P10" s="403">
        <v>0.509</v>
      </c>
      <c r="Q10" s="403">
        <v>0.505</v>
      </c>
      <c r="R10" s="405">
        <v>0.505</v>
      </c>
      <c r="S10" s="405">
        <v>0.505</v>
      </c>
      <c r="T10" s="403">
        <v>0.503</v>
      </c>
      <c r="U10" s="403">
        <v>0.5048</v>
      </c>
      <c r="V10" s="449">
        <v>0.5066</v>
      </c>
      <c r="W10" s="449">
        <v>0.5082</v>
      </c>
      <c r="X10" s="449">
        <v>0.5058</v>
      </c>
      <c r="Y10" s="449">
        <v>0.5058</v>
      </c>
      <c r="Z10" s="449">
        <v>0.5058</v>
      </c>
      <c r="AA10" s="1051">
        <v>0.499</v>
      </c>
      <c r="AC10" s="428"/>
      <c r="AD10" s="428"/>
    </row>
    <row r="11" spans="1:27" ht="18" customHeight="1">
      <c r="A11" s="400" t="s">
        <v>97</v>
      </c>
      <c r="B11" s="401">
        <v>49331</v>
      </c>
      <c r="C11" s="401">
        <v>46133</v>
      </c>
      <c r="D11" s="401">
        <v>44436</v>
      </c>
      <c r="E11" s="401">
        <v>45451</v>
      </c>
      <c r="F11" s="401">
        <v>46572</v>
      </c>
      <c r="G11" s="401">
        <v>48984</v>
      </c>
      <c r="H11" s="401">
        <v>49531</v>
      </c>
      <c r="I11" s="401">
        <v>50358</v>
      </c>
      <c r="J11" s="401">
        <v>50313</v>
      </c>
      <c r="K11" s="401">
        <f>48977+1868</f>
        <v>50845</v>
      </c>
      <c r="L11" s="401">
        <f>49559+1878</f>
        <v>51437</v>
      </c>
      <c r="M11" s="401">
        <v>52407</v>
      </c>
      <c r="N11" s="401">
        <f aca="true" t="shared" si="3" ref="N11:AA11">+N15+N18</f>
        <v>52577</v>
      </c>
      <c r="O11" s="401">
        <f t="shared" si="3"/>
        <v>52444</v>
      </c>
      <c r="P11" s="401">
        <f t="shared" si="3"/>
        <v>52626</v>
      </c>
      <c r="Q11" s="401">
        <f t="shared" si="3"/>
        <v>53138</v>
      </c>
      <c r="R11" s="401">
        <f t="shared" si="3"/>
        <v>53115</v>
      </c>
      <c r="S11" s="401">
        <f t="shared" si="3"/>
        <v>52879</v>
      </c>
      <c r="T11" s="401">
        <f t="shared" si="3"/>
        <v>54037</v>
      </c>
      <c r="U11" s="401">
        <f>+U15+U18</f>
        <v>54548</v>
      </c>
      <c r="V11" s="401">
        <f>+V15+V18</f>
        <v>53947</v>
      </c>
      <c r="W11" s="401">
        <f>+W15+W18</f>
        <v>53044</v>
      </c>
      <c r="X11" s="401">
        <f>+X15+X18</f>
        <v>51426</v>
      </c>
      <c r="Y11" s="401">
        <f>+Y15+Y18</f>
        <v>50542</v>
      </c>
      <c r="Z11" s="1043">
        <f>+Z15+Z18</f>
        <v>49873</v>
      </c>
      <c r="AA11" s="1050">
        <f t="shared" si="3"/>
        <v>50064</v>
      </c>
    </row>
    <row r="12" spans="1:30" ht="18" customHeight="1">
      <c r="A12" s="432" t="s">
        <v>69</v>
      </c>
      <c r="B12" s="403">
        <v>0.4906853702539985</v>
      </c>
      <c r="C12" s="403">
        <v>0.4911451672338673</v>
      </c>
      <c r="D12" s="403">
        <v>0.49183094788009724</v>
      </c>
      <c r="E12" s="403">
        <v>0.4949506061472795</v>
      </c>
      <c r="F12" s="403">
        <v>0.5010306622004638</v>
      </c>
      <c r="G12" s="403">
        <v>0.5061856932876041</v>
      </c>
      <c r="H12" s="403">
        <v>0.5002119884516767</v>
      </c>
      <c r="I12" s="403">
        <v>0.4980142181977044</v>
      </c>
      <c r="J12" s="403">
        <v>0.49516029654363686</v>
      </c>
      <c r="K12" s="403">
        <v>0.493</v>
      </c>
      <c r="L12" s="403">
        <v>0.501</v>
      </c>
      <c r="M12" s="403">
        <v>0.5</v>
      </c>
      <c r="N12" s="403">
        <v>0.5</v>
      </c>
      <c r="O12" s="403">
        <v>0.498</v>
      </c>
      <c r="P12" s="403">
        <v>0.496</v>
      </c>
      <c r="Q12" s="403">
        <v>0.488</v>
      </c>
      <c r="R12" s="405">
        <v>0.485</v>
      </c>
      <c r="S12" s="405">
        <v>0.485</v>
      </c>
      <c r="T12" s="403">
        <v>0.491</v>
      </c>
      <c r="U12" s="403">
        <v>0.4945</v>
      </c>
      <c r="V12" s="449">
        <v>0.4992</v>
      </c>
      <c r="W12" s="449">
        <v>0.4973</v>
      </c>
      <c r="X12" s="449">
        <v>0.4972</v>
      </c>
      <c r="Y12" s="449">
        <v>0.4972</v>
      </c>
      <c r="Z12" s="449">
        <v>0.4972</v>
      </c>
      <c r="AA12" s="1051">
        <v>0.482</v>
      </c>
      <c r="AC12" s="428"/>
      <c r="AD12" s="428"/>
    </row>
    <row r="13" spans="1:27" ht="18" customHeight="1">
      <c r="A13" s="396" t="s">
        <v>75</v>
      </c>
      <c r="B13" s="427">
        <f aca="true" t="shared" si="4" ref="B13:I13">SUM(B14:B15)</f>
        <v>33465</v>
      </c>
      <c r="C13" s="397">
        <f t="shared" si="4"/>
        <v>32530</v>
      </c>
      <c r="D13" s="397">
        <f t="shared" si="4"/>
        <v>31229</v>
      </c>
      <c r="E13" s="397">
        <f t="shared" si="4"/>
        <v>32447</v>
      </c>
      <c r="F13" s="397">
        <f t="shared" si="4"/>
        <v>33401</v>
      </c>
      <c r="G13" s="397">
        <f t="shared" si="4"/>
        <v>33880</v>
      </c>
      <c r="H13" s="397">
        <f t="shared" si="4"/>
        <v>34247</v>
      </c>
      <c r="I13" s="397">
        <f t="shared" si="4"/>
        <v>34279</v>
      </c>
      <c r="J13" s="397">
        <f aca="true" t="shared" si="5" ref="J13:AA13">SUM(J14:J15)</f>
        <v>33688</v>
      </c>
      <c r="K13" s="397">
        <f t="shared" si="5"/>
        <v>34090</v>
      </c>
      <c r="L13" s="397">
        <f t="shared" si="5"/>
        <v>34840</v>
      </c>
      <c r="M13" s="397">
        <f t="shared" si="5"/>
        <v>34861</v>
      </c>
      <c r="N13" s="397">
        <f t="shared" si="5"/>
        <v>34378</v>
      </c>
      <c r="O13" s="397">
        <f t="shared" si="5"/>
        <v>35189</v>
      </c>
      <c r="P13" s="397">
        <f t="shared" si="5"/>
        <v>36044</v>
      </c>
      <c r="Q13" s="397">
        <f t="shared" si="5"/>
        <v>36036</v>
      </c>
      <c r="R13" s="397">
        <f t="shared" si="5"/>
        <v>35196</v>
      </c>
      <c r="S13" s="397">
        <f t="shared" si="5"/>
        <v>35913</v>
      </c>
      <c r="T13" s="397">
        <f t="shared" si="5"/>
        <v>36152</v>
      </c>
      <c r="U13" s="397">
        <f>SUM(U14:U15)</f>
        <v>36953</v>
      </c>
      <c r="V13" s="397">
        <f>SUM(V14:V15)</f>
        <v>34464</v>
      </c>
      <c r="W13" s="397">
        <f>SUM(W14:W15)</f>
        <v>35041</v>
      </c>
      <c r="X13" s="397">
        <f>SUM(X14:X15)</f>
        <v>35159</v>
      </c>
      <c r="Y13" s="397">
        <f>SUM(Y14:Y15)</f>
        <v>34593</v>
      </c>
      <c r="Z13" s="397">
        <f>SUM(Z14:Z15)</f>
        <v>33992</v>
      </c>
      <c r="AA13" s="1048">
        <f t="shared" si="5"/>
        <v>33378</v>
      </c>
    </row>
    <row r="14" spans="1:31" ht="18" customHeight="1">
      <c r="A14" s="400" t="s">
        <v>96</v>
      </c>
      <c r="B14" s="433">
        <v>17422</v>
      </c>
      <c r="C14" s="401">
        <v>17585</v>
      </c>
      <c r="D14" s="401">
        <v>16992</v>
      </c>
      <c r="E14" s="401">
        <v>17367</v>
      </c>
      <c r="F14" s="401">
        <v>18070</v>
      </c>
      <c r="G14" s="401">
        <v>17821</v>
      </c>
      <c r="H14" s="401">
        <v>18283</v>
      </c>
      <c r="I14" s="401">
        <v>18036</v>
      </c>
      <c r="J14" s="401">
        <v>17689</v>
      </c>
      <c r="K14" s="401">
        <v>17757</v>
      </c>
      <c r="L14" s="401">
        <v>18111</v>
      </c>
      <c r="M14" s="401">
        <v>17640</v>
      </c>
      <c r="N14" s="401">
        <v>18168</v>
      </c>
      <c r="O14" s="401">
        <v>18763</v>
      </c>
      <c r="P14" s="401">
        <v>19264</v>
      </c>
      <c r="Q14" s="401">
        <v>18819</v>
      </c>
      <c r="R14" s="401">
        <v>18274</v>
      </c>
      <c r="S14" s="401">
        <v>18923</v>
      </c>
      <c r="T14" s="401">
        <v>18224</v>
      </c>
      <c r="U14" s="401">
        <v>19424</v>
      </c>
      <c r="V14" s="401">
        <v>18271</v>
      </c>
      <c r="W14" s="401">
        <v>18321</v>
      </c>
      <c r="X14" s="401">
        <v>18690</v>
      </c>
      <c r="Y14" s="401">
        <v>18478</v>
      </c>
      <c r="Z14" s="1043">
        <v>18175</v>
      </c>
      <c r="AA14" s="1050">
        <v>17803</v>
      </c>
      <c r="AC14" s="428"/>
      <c r="AD14" s="428"/>
      <c r="AE14" s="428"/>
    </row>
    <row r="15" spans="1:27" ht="18" customHeight="1">
      <c r="A15" s="400" t="s">
        <v>97</v>
      </c>
      <c r="B15" s="433">
        <v>16043</v>
      </c>
      <c r="C15" s="401">
        <v>14945</v>
      </c>
      <c r="D15" s="401">
        <v>14237</v>
      </c>
      <c r="E15" s="401">
        <v>15080</v>
      </c>
      <c r="F15" s="401">
        <v>15331</v>
      </c>
      <c r="G15" s="401">
        <v>16059</v>
      </c>
      <c r="H15" s="401">
        <v>15964</v>
      </c>
      <c r="I15" s="401">
        <v>16243</v>
      </c>
      <c r="J15" s="401">
        <v>15999</v>
      </c>
      <c r="K15" s="401">
        <f>15821+512</f>
        <v>16333</v>
      </c>
      <c r="L15" s="401">
        <f>16121+608</f>
        <v>16729</v>
      </c>
      <c r="M15" s="401">
        <v>17221</v>
      </c>
      <c r="N15" s="401">
        <v>16210</v>
      </c>
      <c r="O15" s="401">
        <v>16426</v>
      </c>
      <c r="P15" s="401">
        <v>16780</v>
      </c>
      <c r="Q15" s="401">
        <v>17217</v>
      </c>
      <c r="R15" s="401">
        <v>16922</v>
      </c>
      <c r="S15" s="401">
        <f>16153+837</f>
        <v>16990</v>
      </c>
      <c r="T15" s="401">
        <v>17928</v>
      </c>
      <c r="U15" s="401">
        <v>17529</v>
      </c>
      <c r="V15" s="401">
        <v>16193</v>
      </c>
      <c r="W15" s="401">
        <v>16720</v>
      </c>
      <c r="X15" s="401">
        <v>16469</v>
      </c>
      <c r="Y15" s="401">
        <v>16115</v>
      </c>
      <c r="Z15" s="1043">
        <f>15247+570</f>
        <v>15817</v>
      </c>
      <c r="AA15" s="1050">
        <v>15575</v>
      </c>
    </row>
    <row r="16" spans="1:27" ht="18" customHeight="1">
      <c r="A16" s="396" t="s">
        <v>76</v>
      </c>
      <c r="B16" s="427">
        <f aca="true" t="shared" si="6" ref="B16:AA16">SUM(B17:B18)</f>
        <v>69209</v>
      </c>
      <c r="C16" s="397">
        <f t="shared" si="6"/>
        <v>68396</v>
      </c>
      <c r="D16" s="397">
        <f t="shared" si="6"/>
        <v>64143</v>
      </c>
      <c r="E16" s="397">
        <f t="shared" si="6"/>
        <v>64351</v>
      </c>
      <c r="F16" s="397">
        <f t="shared" si="6"/>
        <v>66710</v>
      </c>
      <c r="G16" s="397">
        <f t="shared" si="6"/>
        <v>70674</v>
      </c>
      <c r="H16" s="397">
        <f t="shared" si="6"/>
        <v>71725</v>
      </c>
      <c r="I16" s="397">
        <f t="shared" si="6"/>
        <v>72634</v>
      </c>
      <c r="J16" s="397">
        <f t="shared" si="6"/>
        <v>72610</v>
      </c>
      <c r="K16" s="397">
        <f t="shared" si="6"/>
        <v>73357</v>
      </c>
      <c r="L16" s="397">
        <f t="shared" si="6"/>
        <v>73008</v>
      </c>
      <c r="M16" s="397">
        <f t="shared" si="6"/>
        <v>73838</v>
      </c>
      <c r="N16" s="397">
        <f t="shared" si="6"/>
        <v>75152</v>
      </c>
      <c r="O16" s="397">
        <f t="shared" si="6"/>
        <v>74930</v>
      </c>
      <c r="P16" s="397">
        <f t="shared" si="6"/>
        <v>75938</v>
      </c>
      <c r="Q16" s="397">
        <f t="shared" si="6"/>
        <v>77143</v>
      </c>
      <c r="R16" s="397">
        <f t="shared" si="6"/>
        <v>77380</v>
      </c>
      <c r="S16" s="397">
        <f t="shared" si="6"/>
        <v>76316</v>
      </c>
      <c r="T16" s="397">
        <f t="shared" si="6"/>
        <v>76472</v>
      </c>
      <c r="U16" s="397">
        <f>SUM(U17:U18)</f>
        <v>77163</v>
      </c>
      <c r="V16" s="397">
        <f>SUM(V17:V18)</f>
        <v>78124</v>
      </c>
      <c r="W16" s="397">
        <f>SUM(W17:W18)</f>
        <v>76528</v>
      </c>
      <c r="X16" s="397">
        <f>SUM(X17:X18)</f>
        <v>73643</v>
      </c>
      <c r="Y16" s="397">
        <f>SUM(Y17:Y18)</f>
        <v>71981</v>
      </c>
      <c r="Z16" s="397">
        <f>SUM(Z17:Z18)</f>
        <v>72871</v>
      </c>
      <c r="AA16" s="1048">
        <f t="shared" si="6"/>
        <v>73683</v>
      </c>
    </row>
    <row r="17" spans="1:27" ht="18" customHeight="1">
      <c r="A17" s="400" t="s">
        <v>96</v>
      </c>
      <c r="B17" s="433">
        <v>35921</v>
      </c>
      <c r="C17" s="401">
        <v>37208</v>
      </c>
      <c r="D17" s="401">
        <v>33944</v>
      </c>
      <c r="E17" s="401">
        <v>33980</v>
      </c>
      <c r="F17" s="401">
        <v>35469</v>
      </c>
      <c r="G17" s="401">
        <v>37749</v>
      </c>
      <c r="H17" s="401">
        <v>38158</v>
      </c>
      <c r="I17" s="401">
        <v>38519</v>
      </c>
      <c r="J17" s="401">
        <v>38296</v>
      </c>
      <c r="K17" s="401">
        <v>38845</v>
      </c>
      <c r="L17" s="401">
        <v>38300</v>
      </c>
      <c r="M17" s="401">
        <v>38652</v>
      </c>
      <c r="N17" s="401">
        <v>38785</v>
      </c>
      <c r="O17" s="401">
        <v>38912</v>
      </c>
      <c r="P17" s="401">
        <v>40092</v>
      </c>
      <c r="Q17" s="401">
        <v>41222</v>
      </c>
      <c r="R17" s="401">
        <v>41187</v>
      </c>
      <c r="S17" s="401">
        <v>40427</v>
      </c>
      <c r="T17" s="401">
        <v>40363</v>
      </c>
      <c r="U17" s="401">
        <v>40144</v>
      </c>
      <c r="V17" s="401">
        <v>40370</v>
      </c>
      <c r="W17" s="401">
        <v>40204</v>
      </c>
      <c r="X17" s="401">
        <v>38686</v>
      </c>
      <c r="Y17" s="401">
        <v>37554</v>
      </c>
      <c r="Z17" s="1043">
        <v>38815</v>
      </c>
      <c r="AA17" s="1050">
        <v>39194</v>
      </c>
    </row>
    <row r="18" spans="1:27" ht="18" customHeight="1">
      <c r="A18" s="400" t="s">
        <v>97</v>
      </c>
      <c r="B18" s="433">
        <v>33288</v>
      </c>
      <c r="C18" s="401">
        <v>31188</v>
      </c>
      <c r="D18" s="401">
        <v>30199</v>
      </c>
      <c r="E18" s="401">
        <v>30371</v>
      </c>
      <c r="F18" s="401">
        <v>31241</v>
      </c>
      <c r="G18" s="401">
        <v>32925</v>
      </c>
      <c r="H18" s="401">
        <v>33567</v>
      </c>
      <c r="I18" s="401">
        <v>34115</v>
      </c>
      <c r="J18" s="401">
        <v>34314</v>
      </c>
      <c r="K18" s="401">
        <f>33156+1356</f>
        <v>34512</v>
      </c>
      <c r="L18" s="401">
        <v>34708</v>
      </c>
      <c r="M18" s="401">
        <v>35186</v>
      </c>
      <c r="N18" s="401">
        <v>36367</v>
      </c>
      <c r="O18" s="401">
        <v>36018</v>
      </c>
      <c r="P18" s="401">
        <v>35846</v>
      </c>
      <c r="Q18" s="401">
        <v>35921</v>
      </c>
      <c r="R18" s="401">
        <v>36193</v>
      </c>
      <c r="S18" s="401">
        <f>34432+1457</f>
        <v>35889</v>
      </c>
      <c r="T18" s="401">
        <v>36109</v>
      </c>
      <c r="U18" s="401">
        <v>37019</v>
      </c>
      <c r="V18" s="401">
        <v>37754</v>
      </c>
      <c r="W18" s="401">
        <v>36324</v>
      </c>
      <c r="X18" s="401">
        <v>34957</v>
      </c>
      <c r="Y18" s="401">
        <v>34427</v>
      </c>
      <c r="Z18" s="1043">
        <f>32714+1342</f>
        <v>34056</v>
      </c>
      <c r="AA18" s="1050">
        <v>34489</v>
      </c>
    </row>
    <row r="19" spans="1:27" ht="12.75">
      <c r="A19" s="434"/>
      <c r="B19" s="434"/>
      <c r="C19" s="407"/>
      <c r="D19" s="407"/>
      <c r="E19" s="407"/>
      <c r="F19" s="407"/>
      <c r="G19" s="407"/>
      <c r="H19" s="407"/>
      <c r="I19" s="407"/>
      <c r="J19" s="407"/>
      <c r="K19" s="407"/>
      <c r="L19" s="407"/>
      <c r="M19" s="407"/>
      <c r="N19" s="407"/>
      <c r="O19" s="407"/>
      <c r="P19" s="407"/>
      <c r="Q19" s="407"/>
      <c r="R19" s="407"/>
      <c r="S19" s="415"/>
      <c r="T19" s="415"/>
      <c r="U19" s="415"/>
      <c r="V19" s="407"/>
      <c r="W19" s="407"/>
      <c r="X19" s="407"/>
      <c r="Y19" s="407"/>
      <c r="Z19" s="407"/>
      <c r="AA19" s="818"/>
    </row>
    <row r="20" spans="1:27" ht="12" customHeight="1">
      <c r="A20" s="55" t="s">
        <v>98</v>
      </c>
      <c r="B20" s="55"/>
      <c r="C20" s="408"/>
      <c r="D20" s="408"/>
      <c r="E20" s="408"/>
      <c r="F20" s="408"/>
      <c r="G20" s="408"/>
      <c r="H20" s="408"/>
      <c r="I20" s="408"/>
      <c r="J20" s="408"/>
      <c r="K20" s="408"/>
      <c r="L20" s="408"/>
      <c r="M20" s="408"/>
      <c r="N20" s="408"/>
      <c r="O20" s="408"/>
      <c r="P20" s="408"/>
      <c r="Q20" s="408"/>
      <c r="R20" s="408"/>
      <c r="S20" s="416"/>
      <c r="T20" s="416"/>
      <c r="U20" s="416"/>
      <c r="V20" s="408"/>
      <c r="W20" s="408"/>
      <c r="X20" s="408"/>
      <c r="Y20" s="408"/>
      <c r="Z20" s="408"/>
      <c r="AA20" s="472"/>
    </row>
    <row r="21" spans="2:9" ht="12" customHeight="1">
      <c r="B21" s="53"/>
      <c r="C21" s="409"/>
      <c r="D21" s="409"/>
      <c r="E21" s="409"/>
      <c r="F21" s="409"/>
      <c r="G21" s="409"/>
      <c r="H21" s="409"/>
      <c r="I21" s="409"/>
    </row>
    <row r="22" spans="1:21" ht="12" customHeight="1">
      <c r="A22" s="53" t="s">
        <v>59</v>
      </c>
      <c r="B22" s="53"/>
      <c r="C22" s="409"/>
      <c r="D22" s="409"/>
      <c r="E22" s="409"/>
      <c r="F22" s="409"/>
      <c r="G22" s="409"/>
      <c r="H22" s="409"/>
      <c r="I22" s="409"/>
      <c r="S22" s="65"/>
      <c r="T22" s="65"/>
      <c r="U22" s="65"/>
    </row>
    <row r="23" spans="1:37" ht="12.75">
      <c r="A23" s="1118" t="s">
        <v>846</v>
      </c>
      <c r="B23" s="1118"/>
      <c r="C23" s="1118"/>
      <c r="D23" s="1118"/>
      <c r="E23" s="1118"/>
      <c r="F23" s="1118"/>
      <c r="G23" s="1118"/>
      <c r="H23" s="1118"/>
      <c r="I23" s="1118"/>
      <c r="J23" s="1118"/>
      <c r="K23" s="1118"/>
      <c r="L23" s="1118"/>
      <c r="M23" s="1118"/>
      <c r="N23" s="1118"/>
      <c r="O23" s="1118"/>
      <c r="P23" s="1118"/>
      <c r="Q23" s="1118"/>
      <c r="R23" s="1118"/>
      <c r="S23" s="1118"/>
      <c r="T23" s="1118"/>
      <c r="U23" s="1118"/>
      <c r="V23" s="1118"/>
      <c r="W23" s="1118"/>
      <c r="X23" s="1118"/>
      <c r="Y23" s="1118"/>
      <c r="Z23" s="1118"/>
      <c r="AA23" s="1118"/>
      <c r="AD23" s="1052"/>
      <c r="AE23" s="1053"/>
      <c r="AF23" s="1053"/>
      <c r="AG23" s="1053"/>
      <c r="AH23" s="1053"/>
      <c r="AI23" s="1053"/>
      <c r="AJ23" s="1053"/>
      <c r="AK23" s="1053"/>
    </row>
    <row r="24" spans="1:37" ht="12.75">
      <c r="A24" s="1118" t="s">
        <v>847</v>
      </c>
      <c r="B24" s="1118"/>
      <c r="C24" s="1118"/>
      <c r="D24" s="1118"/>
      <c r="E24" s="1118"/>
      <c r="F24" s="1118"/>
      <c r="G24" s="1118"/>
      <c r="H24" s="1118"/>
      <c r="I24" s="1118"/>
      <c r="J24" s="1118"/>
      <c r="K24" s="1118"/>
      <c r="L24" s="1118"/>
      <c r="M24" s="1118"/>
      <c r="N24" s="1118"/>
      <c r="O24" s="1118"/>
      <c r="P24" s="1118"/>
      <c r="Q24" s="1118"/>
      <c r="R24" s="1118"/>
      <c r="S24" s="1118"/>
      <c r="T24" s="1118"/>
      <c r="U24" s="1118"/>
      <c r="V24" s="1118"/>
      <c r="W24" s="1118"/>
      <c r="X24" s="1118"/>
      <c r="Y24" s="1118"/>
      <c r="Z24" s="1118"/>
      <c r="AA24" s="1118"/>
      <c r="AK24" s="413"/>
    </row>
    <row r="25" spans="3:27" ht="12.75">
      <c r="C25" s="408"/>
      <c r="D25" s="408"/>
      <c r="E25" s="408"/>
      <c r="F25" s="408"/>
      <c r="G25" s="408"/>
      <c r="H25" s="408"/>
      <c r="I25" s="408"/>
      <c r="J25" s="408"/>
      <c r="K25" s="408"/>
      <c r="L25" s="408"/>
      <c r="M25" s="408"/>
      <c r="N25" s="408"/>
      <c r="O25" s="408"/>
      <c r="P25" s="408"/>
      <c r="Q25" s="408"/>
      <c r="R25" s="408"/>
      <c r="S25" s="416"/>
      <c r="T25" s="416"/>
      <c r="U25" s="416"/>
      <c r="V25" s="408"/>
      <c r="W25" s="408"/>
      <c r="X25" s="408"/>
      <c r="Y25" s="408"/>
      <c r="Z25" s="408"/>
      <c r="AA25" s="472"/>
    </row>
    <row r="26" spans="2:37" ht="12.75">
      <c r="B26" s="734"/>
      <c r="C26" s="734"/>
      <c r="D26" s="734"/>
      <c r="E26" s="734"/>
      <c r="F26" s="734"/>
      <c r="G26" s="734"/>
      <c r="H26" s="734"/>
      <c r="I26" s="734"/>
      <c r="J26" s="734"/>
      <c r="K26" s="734"/>
      <c r="L26" s="734"/>
      <c r="M26" s="734"/>
      <c r="N26" s="734"/>
      <c r="O26" s="734"/>
      <c r="P26" s="734"/>
      <c r="Q26" s="734"/>
      <c r="R26" s="734"/>
      <c r="S26" s="734"/>
      <c r="T26" s="734"/>
      <c r="U26" s="734"/>
      <c r="V26" s="734"/>
      <c r="W26" s="734"/>
      <c r="X26" s="734"/>
      <c r="Y26" s="734"/>
      <c r="Z26" s="734"/>
      <c r="AA26" s="927"/>
      <c r="AD26" s="1052"/>
      <c r="AE26" s="1053"/>
      <c r="AF26" s="1053"/>
      <c r="AG26" s="1053"/>
      <c r="AH26" s="1053"/>
      <c r="AI26" s="1053"/>
      <c r="AJ26" s="1053"/>
      <c r="AK26" s="1053"/>
    </row>
    <row r="27" spans="3:37" ht="12.75">
      <c r="C27" s="743"/>
      <c r="D27" s="743"/>
      <c r="E27" s="743"/>
      <c r="F27" s="743"/>
      <c r="G27" s="743"/>
      <c r="H27" s="743"/>
      <c r="I27" s="743"/>
      <c r="J27" s="408"/>
      <c r="K27" s="408"/>
      <c r="L27" s="408"/>
      <c r="M27" s="408"/>
      <c r="N27" s="408"/>
      <c r="O27" s="408"/>
      <c r="P27" s="408"/>
      <c r="Q27" s="408"/>
      <c r="R27" s="408"/>
      <c r="S27" s="408"/>
      <c r="T27" s="408"/>
      <c r="U27" s="408"/>
      <c r="V27" s="408"/>
      <c r="W27" s="408"/>
      <c r="X27" s="408"/>
      <c r="Y27" s="408"/>
      <c r="Z27" s="408"/>
      <c r="AA27" s="472"/>
      <c r="AD27" s="1052"/>
      <c r="AE27" s="1053"/>
      <c r="AF27" s="1053"/>
      <c r="AG27" s="1053"/>
      <c r="AH27" s="1053"/>
      <c r="AI27" s="1053"/>
      <c r="AJ27" s="1053"/>
      <c r="AK27" s="1053"/>
    </row>
    <row r="28" spans="3:27" ht="12.75">
      <c r="C28" s="408"/>
      <c r="D28" s="408"/>
      <c r="E28" s="408"/>
      <c r="F28" s="408"/>
      <c r="G28" s="408"/>
      <c r="H28" s="408"/>
      <c r="I28" s="408"/>
      <c r="J28" s="408"/>
      <c r="K28" s="408"/>
      <c r="L28" s="408"/>
      <c r="M28" s="408"/>
      <c r="N28" s="408"/>
      <c r="O28" s="408"/>
      <c r="P28" s="408"/>
      <c r="Q28" s="408"/>
      <c r="R28" s="408"/>
      <c r="S28" s="408"/>
      <c r="T28" s="408"/>
      <c r="U28" s="408"/>
      <c r="V28" s="408"/>
      <c r="W28" s="408"/>
      <c r="X28" s="990"/>
      <c r="Y28" s="408"/>
      <c r="Z28" s="408"/>
      <c r="AA28" s="472"/>
    </row>
    <row r="29" spans="3:9" ht="12.75">
      <c r="C29" s="413"/>
      <c r="D29" s="413"/>
      <c r="E29" s="413"/>
      <c r="F29" s="413"/>
      <c r="G29" s="413"/>
      <c r="H29" s="413"/>
      <c r="I29" s="413"/>
    </row>
    <row r="30" ht="12.75">
      <c r="AF30" s="408"/>
    </row>
    <row r="31" spans="1:32" ht="12.75">
      <c r="A31" s="419"/>
      <c r="B31" s="419"/>
      <c r="C31" s="744"/>
      <c r="D31" s="744"/>
      <c r="E31" s="744"/>
      <c r="F31" s="744"/>
      <c r="G31" s="744"/>
      <c r="H31" s="744"/>
      <c r="I31" s="744"/>
      <c r="J31" s="419"/>
      <c r="K31" s="419"/>
      <c r="L31" s="419"/>
      <c r="M31" s="419"/>
      <c r="N31" s="419"/>
      <c r="O31" s="419"/>
      <c r="P31" s="419"/>
      <c r="Q31" s="419"/>
      <c r="R31" s="419"/>
      <c r="V31" s="419"/>
      <c r="AF31" s="408"/>
    </row>
    <row r="32" spans="3:21" ht="12.75">
      <c r="C32" s="414"/>
      <c r="D32" s="414"/>
      <c r="E32" s="414"/>
      <c r="F32" s="414"/>
      <c r="G32" s="414"/>
      <c r="H32" s="414"/>
      <c r="I32" s="414"/>
      <c r="S32" s="65"/>
      <c r="T32" s="65"/>
      <c r="U32" s="65"/>
    </row>
    <row r="33" spans="3:9" ht="12.75">
      <c r="C33" s="414"/>
      <c r="D33" s="414"/>
      <c r="E33" s="414"/>
      <c r="F33" s="414"/>
      <c r="G33" s="414"/>
      <c r="H33" s="414"/>
      <c r="I33" s="414"/>
    </row>
    <row r="34" spans="3:21" ht="12.75">
      <c r="C34" s="414"/>
      <c r="D34" s="414"/>
      <c r="E34" s="414"/>
      <c r="F34" s="414"/>
      <c r="G34" s="414"/>
      <c r="H34" s="414"/>
      <c r="I34" s="414"/>
      <c r="S34" s="65"/>
      <c r="T34" s="65"/>
      <c r="U34" s="65"/>
    </row>
    <row r="35" spans="3:9" ht="12.75">
      <c r="C35" s="414"/>
      <c r="D35" s="414"/>
      <c r="E35" s="414"/>
      <c r="F35" s="414"/>
      <c r="G35" s="414"/>
      <c r="H35" s="414"/>
      <c r="I35" s="414"/>
    </row>
    <row r="36" spans="3:9" ht="12.75">
      <c r="C36" s="414"/>
      <c r="D36" s="414"/>
      <c r="E36" s="414"/>
      <c r="F36" s="414"/>
      <c r="G36" s="414"/>
      <c r="H36" s="414"/>
      <c r="I36" s="414"/>
    </row>
    <row r="37" spans="3:27" s="419" customFormat="1" ht="12.75">
      <c r="C37" s="744"/>
      <c r="D37" s="744"/>
      <c r="E37" s="744"/>
      <c r="F37" s="744"/>
      <c r="G37" s="744"/>
      <c r="H37" s="744"/>
      <c r="I37" s="744"/>
      <c r="W37" s="65"/>
      <c r="X37" s="65"/>
      <c r="Y37" s="65"/>
      <c r="Z37" s="1046"/>
      <c r="AA37" s="753"/>
    </row>
    <row r="38" spans="3:27" s="419" customFormat="1" ht="12.75">
      <c r="C38" s="744"/>
      <c r="D38" s="744"/>
      <c r="E38" s="744"/>
      <c r="F38" s="744"/>
      <c r="G38" s="744"/>
      <c r="H38" s="744"/>
      <c r="I38" s="744"/>
      <c r="W38" s="65"/>
      <c r="X38" s="65"/>
      <c r="Y38" s="65"/>
      <c r="Z38" s="1046"/>
      <c r="AA38" s="753"/>
    </row>
    <row r="39" spans="3:9" ht="12.75">
      <c r="C39" s="414"/>
      <c r="D39" s="414"/>
      <c r="E39" s="414"/>
      <c r="F39" s="414"/>
      <c r="G39" s="414"/>
      <c r="H39" s="414"/>
      <c r="I39" s="414"/>
    </row>
    <row r="40" spans="3:9" ht="12.75">
      <c r="C40" s="414"/>
      <c r="D40" s="414"/>
      <c r="E40" s="414"/>
      <c r="F40" s="414"/>
      <c r="G40" s="414"/>
      <c r="H40" s="414"/>
      <c r="I40" s="414"/>
    </row>
  </sheetData>
  <sheetProtection/>
  <mergeCells count="5">
    <mergeCell ref="A1:AA1"/>
    <mergeCell ref="A3:AA3"/>
    <mergeCell ref="A4:AA4"/>
    <mergeCell ref="A23:AA23"/>
    <mergeCell ref="A24:AA24"/>
  </mergeCells>
  <printOptions horizontalCentered="1"/>
  <pageMargins left="0.7874015748031497" right="0.7874015748031497" top="0.984251968503937" bottom="0.984251968503937" header="0" footer="0"/>
  <pageSetup fitToHeight="1" fitToWidth="1" horizontalDpi="600" verticalDpi="600" orientation="landscape" scale="45" r:id="rId1"/>
</worksheet>
</file>

<file path=xl/worksheets/sheet8.xml><?xml version="1.0" encoding="utf-8"?>
<worksheet xmlns="http://schemas.openxmlformats.org/spreadsheetml/2006/main" xmlns:r="http://schemas.openxmlformats.org/officeDocument/2006/relationships">
  <sheetPr>
    <tabColor rgb="FF660066"/>
    <pageSetUpPr fitToPage="1"/>
  </sheetPr>
  <dimension ref="A1:Z36"/>
  <sheetViews>
    <sheetView zoomScalePageLayoutView="0" workbookViewId="0" topLeftCell="A1">
      <pane xSplit="1" ySplit="7" topLeftCell="K8" activePane="bottomRight" state="frozen"/>
      <selection pane="topLeft" activeCell="A1" sqref="A1:H1"/>
      <selection pane="topRight" activeCell="A1" sqref="A1:H1"/>
      <selection pane="bottomLeft" activeCell="A1" sqref="A1:H1"/>
      <selection pane="bottomRight" activeCell="A15" sqref="A15:Y16"/>
    </sheetView>
  </sheetViews>
  <sheetFormatPr defaultColWidth="11.421875" defaultRowHeight="12.75"/>
  <cols>
    <col min="1" max="1" width="26.8515625" style="65" customWidth="1"/>
    <col min="2" max="22" width="10.8515625" style="65" customWidth="1"/>
    <col min="23" max="24" width="10.8515625" style="379" customWidth="1"/>
    <col min="25" max="25" width="10.8515625" style="753" customWidth="1"/>
    <col min="26" max="26" width="10.8515625" style="419" customWidth="1"/>
    <col min="27" max="16384" width="10.8515625" style="65" customWidth="1"/>
  </cols>
  <sheetData>
    <row r="1" spans="1:26" ht="12.75">
      <c r="A1" s="1115" t="s">
        <v>99</v>
      </c>
      <c r="B1" s="1115"/>
      <c r="C1" s="1115"/>
      <c r="D1" s="1115"/>
      <c r="E1" s="1115"/>
      <c r="F1" s="1115"/>
      <c r="G1" s="1115"/>
      <c r="H1" s="1115"/>
      <c r="I1" s="1115"/>
      <c r="J1" s="1115"/>
      <c r="K1" s="1115"/>
      <c r="L1" s="1115"/>
      <c r="M1" s="1115"/>
      <c r="N1" s="1115"/>
      <c r="O1" s="1115"/>
      <c r="P1" s="1115"/>
      <c r="Q1" s="1115"/>
      <c r="R1" s="1115"/>
      <c r="S1" s="1115"/>
      <c r="T1" s="1115"/>
      <c r="U1" s="1115"/>
      <c r="V1" s="1115"/>
      <c r="W1" s="1115"/>
      <c r="X1" s="1115"/>
      <c r="Y1" s="1115"/>
      <c r="Z1" s="736"/>
    </row>
    <row r="3" spans="1:26" s="371" customFormat="1" ht="18" customHeight="1">
      <c r="A3" s="1116" t="s">
        <v>6</v>
      </c>
      <c r="B3" s="1116"/>
      <c r="C3" s="1116"/>
      <c r="D3" s="1116"/>
      <c r="E3" s="1116"/>
      <c r="F3" s="1116"/>
      <c r="G3" s="1116"/>
      <c r="H3" s="1116"/>
      <c r="I3" s="1116"/>
      <c r="J3" s="1116"/>
      <c r="K3" s="1116"/>
      <c r="L3" s="1116"/>
      <c r="M3" s="1116"/>
      <c r="N3" s="1116"/>
      <c r="O3" s="1116"/>
      <c r="P3" s="1116"/>
      <c r="Q3" s="1116"/>
      <c r="R3" s="1116"/>
      <c r="S3" s="1116"/>
      <c r="T3" s="1116"/>
      <c r="U3" s="1116"/>
      <c r="V3" s="1116"/>
      <c r="W3" s="1116"/>
      <c r="X3" s="1116"/>
      <c r="Y3" s="1116"/>
      <c r="Z3" s="737"/>
    </row>
    <row r="4" spans="1:26" s="52" customFormat="1" ht="18" customHeight="1">
      <c r="A4" s="1117" t="s">
        <v>778</v>
      </c>
      <c r="B4" s="1117"/>
      <c r="C4" s="1117"/>
      <c r="D4" s="1117"/>
      <c r="E4" s="1117"/>
      <c r="F4" s="1117"/>
      <c r="G4" s="1117"/>
      <c r="H4" s="1117"/>
      <c r="I4" s="1117"/>
      <c r="J4" s="1117"/>
      <c r="K4" s="1117"/>
      <c r="L4" s="1117"/>
      <c r="M4" s="1117"/>
      <c r="N4" s="1117"/>
      <c r="O4" s="1117"/>
      <c r="P4" s="1117"/>
      <c r="Q4" s="1117"/>
      <c r="R4" s="1117"/>
      <c r="S4" s="1117"/>
      <c r="T4" s="1117"/>
      <c r="U4" s="1117"/>
      <c r="V4" s="1117"/>
      <c r="W4" s="1117"/>
      <c r="X4" s="1117"/>
      <c r="Y4" s="1117"/>
      <c r="Z4" s="738"/>
    </row>
    <row r="5" spans="2:25" ht="18" customHeight="1">
      <c r="B5" s="393"/>
      <c r="C5" s="393"/>
      <c r="D5" s="393"/>
      <c r="E5" s="393"/>
      <c r="F5" s="393"/>
      <c r="G5" s="393"/>
      <c r="H5" s="393"/>
      <c r="I5" s="393"/>
      <c r="J5" s="393"/>
      <c r="K5" s="393"/>
      <c r="L5" s="393"/>
      <c r="M5" s="393"/>
      <c r="N5" s="393"/>
      <c r="O5" s="393"/>
      <c r="P5" s="393"/>
      <c r="Q5" s="393"/>
      <c r="R5" s="393"/>
      <c r="S5" s="393"/>
      <c r="T5" s="393"/>
      <c r="U5" s="393"/>
      <c r="V5" s="393"/>
      <c r="W5" s="707"/>
      <c r="X5" s="707"/>
      <c r="Y5" s="810"/>
    </row>
    <row r="6" spans="1:26" s="52" customFormat="1" ht="18" customHeight="1">
      <c r="A6" s="394"/>
      <c r="B6" s="395" t="s">
        <v>40</v>
      </c>
      <c r="C6" s="395" t="s">
        <v>41</v>
      </c>
      <c r="D6" s="395" t="s">
        <v>42</v>
      </c>
      <c r="E6" s="395" t="s">
        <v>43</v>
      </c>
      <c r="F6" s="395" t="s">
        <v>44</v>
      </c>
      <c r="G6" s="395" t="s">
        <v>45</v>
      </c>
      <c r="H6" s="395" t="s">
        <v>46</v>
      </c>
      <c r="I6" s="395" t="s">
        <v>47</v>
      </c>
      <c r="J6" s="395" t="s">
        <v>48</v>
      </c>
      <c r="K6" s="395" t="s">
        <v>49</v>
      </c>
      <c r="L6" s="395" t="s">
        <v>50</v>
      </c>
      <c r="M6" s="395" t="s">
        <v>51</v>
      </c>
      <c r="N6" s="395" t="s">
        <v>52</v>
      </c>
      <c r="O6" s="395" t="s">
        <v>53</v>
      </c>
      <c r="P6" s="395" t="s">
        <v>54</v>
      </c>
      <c r="Q6" s="395" t="s">
        <v>55</v>
      </c>
      <c r="R6" s="395" t="s">
        <v>513</v>
      </c>
      <c r="S6" s="395" t="s">
        <v>542</v>
      </c>
      <c r="T6" s="395" t="s">
        <v>562</v>
      </c>
      <c r="U6" s="395" t="s">
        <v>651</v>
      </c>
      <c r="V6" s="395" t="s">
        <v>663</v>
      </c>
      <c r="W6" s="832" t="s">
        <v>690</v>
      </c>
      <c r="X6" s="832" t="s">
        <v>733</v>
      </c>
      <c r="Y6" s="811" t="s">
        <v>784</v>
      </c>
      <c r="Z6" s="738"/>
    </row>
    <row r="7" spans="1:25" ht="18" customHeight="1">
      <c r="A7" s="435" t="s">
        <v>100</v>
      </c>
      <c r="B7" s="436">
        <f aca="true" t="shared" si="0" ref="B7:S7">B8+B9+B12</f>
        <v>6405</v>
      </c>
      <c r="C7" s="437">
        <f t="shared" si="0"/>
        <v>6743</v>
      </c>
      <c r="D7" s="437">
        <f t="shared" si="0"/>
        <v>6872</v>
      </c>
      <c r="E7" s="437">
        <f t="shared" si="0"/>
        <v>7353</v>
      </c>
      <c r="F7" s="437">
        <f t="shared" si="0"/>
        <v>8434</v>
      </c>
      <c r="G7" s="437">
        <f t="shared" si="0"/>
        <v>10489</v>
      </c>
      <c r="H7" s="437">
        <f t="shared" si="0"/>
        <v>12601</v>
      </c>
      <c r="I7" s="437">
        <f t="shared" si="0"/>
        <v>13249</v>
      </c>
      <c r="J7" s="437">
        <f t="shared" si="0"/>
        <v>14170</v>
      </c>
      <c r="K7" s="437">
        <f t="shared" si="0"/>
        <v>14707</v>
      </c>
      <c r="L7" s="437">
        <f t="shared" si="0"/>
        <v>17301</v>
      </c>
      <c r="M7" s="437">
        <f t="shared" si="0"/>
        <v>17301</v>
      </c>
      <c r="N7" s="437">
        <f t="shared" si="0"/>
        <v>21692</v>
      </c>
      <c r="O7" s="437">
        <f t="shared" si="0"/>
        <v>23841</v>
      </c>
      <c r="P7" s="437">
        <f t="shared" si="0"/>
        <v>26186</v>
      </c>
      <c r="Q7" s="437">
        <f t="shared" si="0"/>
        <v>28655</v>
      </c>
      <c r="R7" s="437">
        <f t="shared" si="0"/>
        <v>30541</v>
      </c>
      <c r="S7" s="437">
        <f t="shared" si="0"/>
        <v>31470</v>
      </c>
      <c r="T7" s="437">
        <f aca="true" t="shared" si="1" ref="T7:Y7">T8+T9+T12</f>
        <v>32432</v>
      </c>
      <c r="U7" s="485">
        <f t="shared" si="1"/>
        <v>34792</v>
      </c>
      <c r="V7" s="485">
        <f t="shared" si="1"/>
        <v>37540</v>
      </c>
      <c r="W7" s="833">
        <f t="shared" si="1"/>
        <v>39230</v>
      </c>
      <c r="X7" s="833">
        <f t="shared" si="1"/>
        <v>40746</v>
      </c>
      <c r="Y7" s="836">
        <f t="shared" si="1"/>
        <v>43210</v>
      </c>
    </row>
    <row r="8" spans="1:25" ht="18" customHeight="1">
      <c r="A8" s="438" t="s">
        <v>72</v>
      </c>
      <c r="B8" s="439">
        <v>601</v>
      </c>
      <c r="C8" s="439">
        <v>623</v>
      </c>
      <c r="D8" s="439">
        <v>631</v>
      </c>
      <c r="E8" s="439">
        <v>744</v>
      </c>
      <c r="F8" s="439">
        <v>717</v>
      </c>
      <c r="G8" s="439">
        <v>1828</v>
      </c>
      <c r="H8" s="439">
        <v>1310</v>
      </c>
      <c r="I8" s="439">
        <v>1094</v>
      </c>
      <c r="J8" s="439">
        <v>1032</v>
      </c>
      <c r="K8" s="439">
        <v>1056</v>
      </c>
      <c r="L8" s="439">
        <v>1021</v>
      </c>
      <c r="M8" s="439">
        <v>362</v>
      </c>
      <c r="N8" s="439">
        <v>97</v>
      </c>
      <c r="O8" s="439">
        <v>3</v>
      </c>
      <c r="P8" s="439">
        <v>5</v>
      </c>
      <c r="Q8" s="439">
        <v>0</v>
      </c>
      <c r="R8" s="439">
        <v>0</v>
      </c>
      <c r="S8" s="439">
        <v>0</v>
      </c>
      <c r="T8" s="439">
        <v>0</v>
      </c>
      <c r="U8" s="486">
        <v>0</v>
      </c>
      <c r="V8" s="486">
        <v>0</v>
      </c>
      <c r="W8" s="834">
        <v>0</v>
      </c>
      <c r="X8" s="834">
        <v>0</v>
      </c>
      <c r="Y8" s="837">
        <v>0</v>
      </c>
    </row>
    <row r="9" spans="1:25" ht="18" customHeight="1">
      <c r="A9" s="438" t="s">
        <v>73</v>
      </c>
      <c r="B9" s="440">
        <v>5694</v>
      </c>
      <c r="C9" s="439">
        <v>5972</v>
      </c>
      <c r="D9" s="439">
        <v>6101</v>
      </c>
      <c r="E9" s="439">
        <v>6532</v>
      </c>
      <c r="F9" s="439">
        <v>7603</v>
      </c>
      <c r="G9" s="439">
        <v>8557</v>
      </c>
      <c r="H9" s="439">
        <v>11145</v>
      </c>
      <c r="I9" s="439">
        <v>12032</v>
      </c>
      <c r="J9" s="439">
        <v>13015</v>
      </c>
      <c r="K9" s="439">
        <v>13541</v>
      </c>
      <c r="L9" s="439">
        <v>16203</v>
      </c>
      <c r="M9" s="439">
        <v>16864</v>
      </c>
      <c r="N9" s="439">
        <v>21409</v>
      </c>
      <c r="O9" s="439">
        <f aca="true" t="shared" si="2" ref="O9:T9">O10+O11</f>
        <v>23713</v>
      </c>
      <c r="P9" s="439">
        <f t="shared" si="2"/>
        <v>26056</v>
      </c>
      <c r="Q9" s="439">
        <f t="shared" si="2"/>
        <v>28528</v>
      </c>
      <c r="R9" s="439">
        <f t="shared" si="2"/>
        <v>30423</v>
      </c>
      <c r="S9" s="439">
        <f t="shared" si="2"/>
        <v>31334</v>
      </c>
      <c r="T9" s="439">
        <f t="shared" si="2"/>
        <v>32315</v>
      </c>
      <c r="U9" s="486">
        <f>U10+U11</f>
        <v>34675</v>
      </c>
      <c r="V9" s="486">
        <f>V10+V11</f>
        <v>37314</v>
      </c>
      <c r="W9" s="834">
        <f>W10+W11</f>
        <v>39082</v>
      </c>
      <c r="X9" s="834">
        <f>X10+X11</f>
        <v>40577</v>
      </c>
      <c r="Y9" s="837">
        <f>Y10+Y11</f>
        <v>42909</v>
      </c>
    </row>
    <row r="10" spans="1:25" ht="18" customHeight="1">
      <c r="A10" s="839" t="s">
        <v>527</v>
      </c>
      <c r="B10" s="747" t="s">
        <v>90</v>
      </c>
      <c r="C10" s="746" t="s">
        <v>90</v>
      </c>
      <c r="D10" s="746" t="s">
        <v>90</v>
      </c>
      <c r="E10" s="746" t="s">
        <v>90</v>
      </c>
      <c r="F10" s="746" t="s">
        <v>90</v>
      </c>
      <c r="G10" s="746" t="s">
        <v>90</v>
      </c>
      <c r="H10" s="746" t="s">
        <v>90</v>
      </c>
      <c r="I10" s="746" t="s">
        <v>90</v>
      </c>
      <c r="J10" s="746" t="s">
        <v>90</v>
      </c>
      <c r="K10" s="746" t="s">
        <v>90</v>
      </c>
      <c r="L10" s="746" t="s">
        <v>90</v>
      </c>
      <c r="M10" s="746" t="s">
        <v>90</v>
      </c>
      <c r="N10" s="746" t="s">
        <v>90</v>
      </c>
      <c r="O10" s="439">
        <v>13510</v>
      </c>
      <c r="P10" s="439">
        <v>14949</v>
      </c>
      <c r="Q10" s="439">
        <v>15711</v>
      </c>
      <c r="R10" s="439">
        <v>17805</v>
      </c>
      <c r="S10" s="439">
        <v>17016</v>
      </c>
      <c r="T10" s="439">
        <v>17106</v>
      </c>
      <c r="U10" s="486">
        <v>18001</v>
      </c>
      <c r="V10" s="486">
        <v>21750</v>
      </c>
      <c r="W10" s="834">
        <v>19574</v>
      </c>
      <c r="X10" s="834">
        <v>19813</v>
      </c>
      <c r="Y10" s="837">
        <v>20550</v>
      </c>
    </row>
    <row r="11" spans="1:25" ht="18" customHeight="1">
      <c r="A11" s="839" t="s">
        <v>528</v>
      </c>
      <c r="B11" s="747" t="s">
        <v>90</v>
      </c>
      <c r="C11" s="746" t="s">
        <v>90</v>
      </c>
      <c r="D11" s="746" t="s">
        <v>90</v>
      </c>
      <c r="E11" s="746" t="s">
        <v>90</v>
      </c>
      <c r="F11" s="746" t="s">
        <v>90</v>
      </c>
      <c r="G11" s="746" t="s">
        <v>90</v>
      </c>
      <c r="H11" s="746" t="s">
        <v>90</v>
      </c>
      <c r="I11" s="746" t="s">
        <v>90</v>
      </c>
      <c r="J11" s="746" t="s">
        <v>90</v>
      </c>
      <c r="K11" s="746" t="s">
        <v>90</v>
      </c>
      <c r="L11" s="746" t="s">
        <v>90</v>
      </c>
      <c r="M11" s="746" t="s">
        <v>90</v>
      </c>
      <c r="N11" s="746" t="s">
        <v>90</v>
      </c>
      <c r="O11" s="439">
        <v>10203</v>
      </c>
      <c r="P11" s="439">
        <v>11107</v>
      </c>
      <c r="Q11" s="439">
        <v>12817</v>
      </c>
      <c r="R11" s="439">
        <v>12618</v>
      </c>
      <c r="S11" s="439">
        <v>14318</v>
      </c>
      <c r="T11" s="439">
        <v>15209</v>
      </c>
      <c r="U11" s="486">
        <v>16674</v>
      </c>
      <c r="V11" s="486">
        <v>15564</v>
      </c>
      <c r="W11" s="834">
        <v>19508</v>
      </c>
      <c r="X11" s="834">
        <v>20764</v>
      </c>
      <c r="Y11" s="837">
        <v>22359</v>
      </c>
    </row>
    <row r="12" spans="1:25" ht="18" customHeight="1">
      <c r="A12" s="438" t="s">
        <v>74</v>
      </c>
      <c r="B12" s="439">
        <v>110</v>
      </c>
      <c r="C12" s="439">
        <v>148</v>
      </c>
      <c r="D12" s="439">
        <v>140</v>
      </c>
      <c r="E12" s="439">
        <v>77</v>
      </c>
      <c r="F12" s="439">
        <v>114</v>
      </c>
      <c r="G12" s="439">
        <v>104</v>
      </c>
      <c r="H12" s="439">
        <v>146</v>
      </c>
      <c r="I12" s="439">
        <v>123</v>
      </c>
      <c r="J12" s="439">
        <v>123</v>
      </c>
      <c r="K12" s="439">
        <v>110</v>
      </c>
      <c r="L12" s="439">
        <v>77</v>
      </c>
      <c r="M12" s="439">
        <v>75</v>
      </c>
      <c r="N12" s="439">
        <v>186</v>
      </c>
      <c r="O12" s="439">
        <v>125</v>
      </c>
      <c r="P12" s="439">
        <v>125</v>
      </c>
      <c r="Q12" s="439">
        <v>127</v>
      </c>
      <c r="R12" s="439">
        <v>118</v>
      </c>
      <c r="S12" s="439">
        <v>136</v>
      </c>
      <c r="T12" s="439">
        <v>117</v>
      </c>
      <c r="U12" s="486">
        <v>117</v>
      </c>
      <c r="V12" s="486">
        <v>226</v>
      </c>
      <c r="W12" s="834">
        <v>148</v>
      </c>
      <c r="X12" s="991">
        <v>169</v>
      </c>
      <c r="Y12" s="840">
        <v>301</v>
      </c>
    </row>
    <row r="13" spans="1:25" ht="12.75">
      <c r="A13" s="441"/>
      <c r="B13" s="442"/>
      <c r="C13" s="442"/>
      <c r="D13" s="442"/>
      <c r="E13" s="442"/>
      <c r="F13" s="442"/>
      <c r="G13" s="442"/>
      <c r="H13" s="442"/>
      <c r="I13" s="442"/>
      <c r="J13" s="442"/>
      <c r="K13" s="442"/>
      <c r="L13" s="442"/>
      <c r="M13" s="442"/>
      <c r="N13" s="442"/>
      <c r="O13" s="442"/>
      <c r="P13" s="442"/>
      <c r="Q13" s="442"/>
      <c r="R13" s="442"/>
      <c r="S13" s="442"/>
      <c r="T13" s="442"/>
      <c r="U13" s="442"/>
      <c r="V13" s="442"/>
      <c r="W13" s="835"/>
      <c r="X13" s="835"/>
      <c r="Y13" s="838"/>
    </row>
    <row r="14" ht="12.75">
      <c r="A14" s="53" t="s">
        <v>59</v>
      </c>
    </row>
    <row r="15" spans="1:25" ht="12.75">
      <c r="A15" s="1118" t="s">
        <v>792</v>
      </c>
      <c r="B15" s="1118"/>
      <c r="C15" s="1118"/>
      <c r="D15" s="1118"/>
      <c r="E15" s="1118"/>
      <c r="F15" s="1118"/>
      <c r="G15" s="1118"/>
      <c r="H15" s="1118"/>
      <c r="I15" s="1118"/>
      <c r="J15" s="1118"/>
      <c r="K15" s="1118"/>
      <c r="L15" s="1118"/>
      <c r="M15" s="1118"/>
      <c r="N15" s="1118"/>
      <c r="O15" s="1118"/>
      <c r="P15" s="1118"/>
      <c r="Q15" s="1118"/>
      <c r="R15" s="1118"/>
      <c r="S15" s="1118"/>
      <c r="T15" s="1118"/>
      <c r="U15" s="1118"/>
      <c r="V15" s="1118"/>
      <c r="W15" s="1118"/>
      <c r="X15" s="1118"/>
      <c r="Y15" s="1118"/>
    </row>
    <row r="16" spans="1:25" ht="12.75">
      <c r="A16" s="1118" t="s">
        <v>793</v>
      </c>
      <c r="B16" s="1118"/>
      <c r="C16" s="1118"/>
      <c r="D16" s="1118"/>
      <c r="E16" s="1118"/>
      <c r="F16" s="1118"/>
      <c r="G16" s="1118"/>
      <c r="H16" s="1118"/>
      <c r="I16" s="1118"/>
      <c r="J16" s="1118"/>
      <c r="K16" s="1118"/>
      <c r="L16" s="1118"/>
      <c r="M16" s="1118"/>
      <c r="N16" s="1118"/>
      <c r="O16" s="1118"/>
      <c r="P16" s="1118"/>
      <c r="Q16" s="1118"/>
      <c r="R16" s="1118"/>
      <c r="S16" s="1118"/>
      <c r="T16" s="1118"/>
      <c r="U16" s="1118"/>
      <c r="V16" s="1118"/>
      <c r="W16" s="1118"/>
      <c r="X16" s="1118"/>
      <c r="Y16" s="1118"/>
    </row>
    <row r="20" spans="1:26" ht="12.75">
      <c r="A20" s="53"/>
      <c r="Z20" s="65"/>
    </row>
    <row r="21" ht="12.75">
      <c r="Z21" s="65"/>
    </row>
    <row r="22" ht="12.75">
      <c r="Z22" s="65"/>
    </row>
    <row r="24" ht="12.75">
      <c r="Z24" s="65"/>
    </row>
    <row r="25" ht="12.75">
      <c r="Z25" s="65"/>
    </row>
    <row r="26" ht="12.75">
      <c r="Z26" s="65"/>
    </row>
    <row r="29" spans="1:22" ht="12.75">
      <c r="A29" s="419"/>
      <c r="B29" s="419"/>
      <c r="C29" s="419"/>
      <c r="D29" s="419"/>
      <c r="E29" s="419"/>
      <c r="F29" s="419"/>
      <c r="G29" s="419"/>
      <c r="H29" s="419"/>
      <c r="I29" s="419"/>
      <c r="J29" s="419"/>
      <c r="K29" s="419"/>
      <c r="L29" s="419"/>
      <c r="M29" s="419"/>
      <c r="N29" s="419"/>
      <c r="O29" s="419"/>
      <c r="P29" s="419"/>
      <c r="Q29" s="419"/>
      <c r="R29" s="419"/>
      <c r="S29" s="419"/>
      <c r="T29" s="419"/>
      <c r="U29" s="419"/>
      <c r="V29" s="419"/>
    </row>
    <row r="30" ht="12.75">
      <c r="Z30" s="65"/>
    </row>
    <row r="32" ht="12.75">
      <c r="Z32" s="65"/>
    </row>
    <row r="35" spans="23:25" s="419" customFormat="1" ht="12.75">
      <c r="W35" s="379"/>
      <c r="X35" s="379"/>
      <c r="Y35" s="753"/>
    </row>
    <row r="36" spans="23:25" s="419" customFormat="1" ht="12.75">
      <c r="W36" s="379"/>
      <c r="X36" s="379"/>
      <c r="Y36" s="753"/>
    </row>
  </sheetData>
  <sheetProtection/>
  <mergeCells count="5">
    <mergeCell ref="A1:Y1"/>
    <mergeCell ref="A3:Y3"/>
    <mergeCell ref="A4:Y4"/>
    <mergeCell ref="A15:Y15"/>
    <mergeCell ref="A16:Y16"/>
  </mergeCells>
  <printOptions horizontalCentered="1"/>
  <pageMargins left="0.7874015748031497" right="0.7874015748031497" top="0.984251968503937" bottom="0.984251968503937" header="0" footer="0"/>
  <pageSetup fitToHeight="1" fitToWidth="1" horizontalDpi="600" verticalDpi="600" orientation="landscape" scale="46" r:id="rId1"/>
  <ignoredErrors>
    <ignoredError sqref="Y7 Y9 O9:U9 B7:U7" unlockedFormula="1"/>
  </ignoredErrors>
</worksheet>
</file>

<file path=xl/worksheets/sheet9.xml><?xml version="1.0" encoding="utf-8"?>
<worksheet xmlns="http://schemas.openxmlformats.org/spreadsheetml/2006/main" xmlns:r="http://schemas.openxmlformats.org/officeDocument/2006/relationships">
  <sheetPr>
    <tabColor theme="9" tint="-0.24997000396251678"/>
    <pageSetUpPr fitToPage="1"/>
  </sheetPr>
  <dimension ref="A1:AA40"/>
  <sheetViews>
    <sheetView zoomScalePageLayoutView="0" workbookViewId="0" topLeftCell="A3">
      <pane xSplit="1" ySplit="7" topLeftCell="I10" activePane="bottomRight" state="frozen"/>
      <selection pane="topLeft" activeCell="A1" sqref="A1:H1"/>
      <selection pane="topRight" activeCell="A1" sqref="A1:H1"/>
      <selection pane="bottomLeft" activeCell="A1" sqref="A1:H1"/>
      <selection pane="bottomRight" activeCell="A7" sqref="A7"/>
    </sheetView>
  </sheetViews>
  <sheetFormatPr defaultColWidth="10.8515625" defaultRowHeight="12.75"/>
  <cols>
    <col min="1" max="1" width="48.421875" style="32" bestFit="1" customWidth="1"/>
    <col min="2" max="7" width="10.8515625" style="32" customWidth="1"/>
    <col min="8" max="17" width="10.8515625" style="7" customWidth="1"/>
    <col min="18" max="24" width="10.8515625" style="32" customWidth="1"/>
    <col min="25" max="25" width="10.8515625" style="484" customWidth="1"/>
    <col min="26" max="27" width="10.8515625" style="732" customWidth="1"/>
    <col min="28" max="248" width="10.8515625" style="32" customWidth="1"/>
    <col min="249" max="249" width="48.421875" style="32" bestFit="1" customWidth="1"/>
    <col min="250" max="16384" width="10.8515625" style="32" customWidth="1"/>
  </cols>
  <sheetData>
    <row r="1" spans="1:25" ht="12.75">
      <c r="A1" s="1108" t="s">
        <v>101</v>
      </c>
      <c r="B1" s="1108"/>
      <c r="C1" s="1108"/>
      <c r="D1" s="1108"/>
      <c r="E1" s="1108"/>
      <c r="F1" s="1108"/>
      <c r="G1" s="1108"/>
      <c r="H1" s="1108"/>
      <c r="I1" s="1108"/>
      <c r="J1" s="1108"/>
      <c r="K1" s="1108"/>
      <c r="L1" s="1108"/>
      <c r="M1" s="1108"/>
      <c r="N1" s="1108"/>
      <c r="O1" s="1108"/>
      <c r="P1" s="1108"/>
      <c r="Q1" s="1108"/>
      <c r="R1" s="1108"/>
      <c r="S1" s="1108"/>
      <c r="T1" s="1108"/>
      <c r="U1" s="1108"/>
      <c r="V1" s="1108"/>
      <c r="W1" s="1108"/>
      <c r="X1" s="1108"/>
      <c r="Y1" s="1108"/>
    </row>
    <row r="3" spans="1:27" s="65" customFormat="1" ht="12.75">
      <c r="A3" s="1115" t="s">
        <v>101</v>
      </c>
      <c r="B3" s="1115"/>
      <c r="C3" s="1115"/>
      <c r="D3" s="1115"/>
      <c r="E3" s="1115"/>
      <c r="F3" s="1115"/>
      <c r="G3" s="1115"/>
      <c r="H3" s="1115"/>
      <c r="I3" s="1115"/>
      <c r="J3" s="1115"/>
      <c r="K3" s="1115"/>
      <c r="L3" s="1115"/>
      <c r="M3" s="1115"/>
      <c r="N3" s="1115"/>
      <c r="O3" s="1115"/>
      <c r="P3" s="1115"/>
      <c r="Q3" s="1115"/>
      <c r="R3" s="1115"/>
      <c r="S3" s="1115"/>
      <c r="T3" s="1115"/>
      <c r="U3" s="1115"/>
      <c r="V3" s="1115"/>
      <c r="W3" s="1115"/>
      <c r="X3" s="1115"/>
      <c r="Y3" s="1115"/>
      <c r="Z3" s="896"/>
      <c r="AA3" s="736"/>
    </row>
    <row r="4" spans="24:27" s="65" customFormat="1" ht="12.75">
      <c r="X4" s="1054"/>
      <c r="Y4" s="379"/>
      <c r="Z4" s="753"/>
      <c r="AA4" s="419"/>
    </row>
    <row r="5" spans="1:27" s="20" customFormat="1" ht="18" customHeight="1">
      <c r="A5" s="1120" t="s">
        <v>7</v>
      </c>
      <c r="B5" s="1120"/>
      <c r="C5" s="1120"/>
      <c r="D5" s="1120"/>
      <c r="E5" s="1120"/>
      <c r="F5" s="1120"/>
      <c r="G5" s="1120"/>
      <c r="H5" s="1120"/>
      <c r="I5" s="1120"/>
      <c r="J5" s="1120"/>
      <c r="K5" s="1120"/>
      <c r="L5" s="1120"/>
      <c r="M5" s="1120"/>
      <c r="N5" s="1120"/>
      <c r="O5" s="1120"/>
      <c r="P5" s="1120"/>
      <c r="Q5" s="1120"/>
      <c r="R5" s="1120"/>
      <c r="S5" s="1120"/>
      <c r="T5" s="1120"/>
      <c r="U5" s="1120"/>
      <c r="V5" s="1120"/>
      <c r="W5" s="1120"/>
      <c r="X5" s="1120"/>
      <c r="Y5" s="1120"/>
      <c r="Z5" s="729"/>
      <c r="AA5" s="729"/>
    </row>
    <row r="6" spans="1:27" s="20" customFormat="1" ht="18" customHeight="1">
      <c r="A6" s="1121" t="s">
        <v>778</v>
      </c>
      <c r="B6" s="1121"/>
      <c r="C6" s="1121"/>
      <c r="D6" s="1121"/>
      <c r="E6" s="1121"/>
      <c r="F6" s="1121"/>
      <c r="G6" s="1121"/>
      <c r="H6" s="1121"/>
      <c r="I6" s="1121"/>
      <c r="J6" s="1121"/>
      <c r="K6" s="1121"/>
      <c r="L6" s="1121"/>
      <c r="M6" s="1121"/>
      <c r="N6" s="1121"/>
      <c r="O6" s="1121"/>
      <c r="P6" s="1121"/>
      <c r="Q6" s="1121"/>
      <c r="R6" s="1121"/>
      <c r="S6" s="1121"/>
      <c r="T6" s="1121"/>
      <c r="U6" s="1121"/>
      <c r="V6" s="1121"/>
      <c r="W6" s="1121"/>
      <c r="X6" s="1121"/>
      <c r="Y6" s="1121"/>
      <c r="Z6" s="729"/>
      <c r="AA6" s="729"/>
    </row>
    <row r="7" spans="1:17" ht="18" customHeight="1">
      <c r="A7" s="17"/>
      <c r="B7" s="18"/>
      <c r="C7" s="18"/>
      <c r="D7" s="18"/>
      <c r="E7" s="18"/>
      <c r="F7" s="18"/>
      <c r="G7" s="18"/>
      <c r="H7" s="18"/>
      <c r="I7" s="18"/>
      <c r="J7" s="18"/>
      <c r="K7" s="291"/>
      <c r="L7" s="291"/>
      <c r="M7" s="291"/>
      <c r="N7" s="291"/>
      <c r="O7" s="291"/>
      <c r="P7" s="291"/>
      <c r="Q7" s="291"/>
    </row>
    <row r="8" spans="1:25" ht="18" customHeight="1">
      <c r="A8" s="21"/>
      <c r="B8" s="290" t="s">
        <v>40</v>
      </c>
      <c r="C8" s="290" t="s">
        <v>41</v>
      </c>
      <c r="D8" s="290" t="s">
        <v>42</v>
      </c>
      <c r="E8" s="290" t="s">
        <v>43</v>
      </c>
      <c r="F8" s="290" t="s">
        <v>44</v>
      </c>
      <c r="G8" s="290" t="s">
        <v>45</v>
      </c>
      <c r="H8" s="290" t="s">
        <v>46</v>
      </c>
      <c r="I8" s="290" t="s">
        <v>47</v>
      </c>
      <c r="J8" s="290" t="s">
        <v>48</v>
      </c>
      <c r="K8" s="290" t="s">
        <v>49</v>
      </c>
      <c r="L8" s="290" t="s">
        <v>50</v>
      </c>
      <c r="M8" s="290" t="s">
        <v>51</v>
      </c>
      <c r="N8" s="290" t="s">
        <v>52</v>
      </c>
      <c r="O8" s="290" t="s">
        <v>53</v>
      </c>
      <c r="P8" s="290" t="s">
        <v>54</v>
      </c>
      <c r="Q8" s="290" t="s">
        <v>55</v>
      </c>
      <c r="R8" s="290" t="s">
        <v>513</v>
      </c>
      <c r="S8" s="290" t="s">
        <v>542</v>
      </c>
      <c r="T8" s="290" t="s">
        <v>562</v>
      </c>
      <c r="U8" s="290" t="s">
        <v>651</v>
      </c>
      <c r="V8" s="290" t="s">
        <v>663</v>
      </c>
      <c r="W8" s="290" t="s">
        <v>690</v>
      </c>
      <c r="X8" s="290" t="s">
        <v>733</v>
      </c>
      <c r="Y8" s="1057" t="s">
        <v>784</v>
      </c>
    </row>
    <row r="9" spans="1:27" s="7" customFormat="1" ht="18" customHeight="1">
      <c r="A9" s="177" t="s">
        <v>102</v>
      </c>
      <c r="B9" s="177">
        <f aca="true" t="shared" si="0" ref="B9:L9">B10+B14+B16</f>
        <v>38445</v>
      </c>
      <c r="C9" s="177">
        <f t="shared" si="0"/>
        <v>44148</v>
      </c>
      <c r="D9" s="177">
        <f t="shared" si="0"/>
        <v>52595</v>
      </c>
      <c r="E9" s="177">
        <f t="shared" si="0"/>
        <v>50816</v>
      </c>
      <c r="F9" s="177">
        <f t="shared" si="0"/>
        <v>48749</v>
      </c>
      <c r="G9" s="177">
        <f t="shared" si="0"/>
        <v>51788</v>
      </c>
      <c r="H9" s="177">
        <f t="shared" si="0"/>
        <v>51279</v>
      </c>
      <c r="I9" s="177">
        <f t="shared" si="0"/>
        <v>50876</v>
      </c>
      <c r="J9" s="177">
        <f t="shared" si="0"/>
        <v>49217</v>
      </c>
      <c r="K9" s="177">
        <f t="shared" si="0"/>
        <v>51405</v>
      </c>
      <c r="L9" s="177">
        <f t="shared" si="0"/>
        <v>57330</v>
      </c>
      <c r="M9" s="177">
        <f>M10+M14+M16</f>
        <v>58584</v>
      </c>
      <c r="N9" s="177">
        <f>N10+N14+N16</f>
        <v>58855</v>
      </c>
      <c r="O9" s="177">
        <f aca="true" t="shared" si="1" ref="O9:Y9">+O10+O14+O16</f>
        <v>60748</v>
      </c>
      <c r="P9" s="177">
        <f t="shared" si="1"/>
        <v>60749</v>
      </c>
      <c r="Q9" s="177">
        <f t="shared" si="1"/>
        <v>63346</v>
      </c>
      <c r="R9" s="352">
        <f t="shared" si="1"/>
        <v>61146</v>
      </c>
      <c r="S9" s="352">
        <f t="shared" si="1"/>
        <v>60468</v>
      </c>
      <c r="T9" s="352">
        <f t="shared" si="1"/>
        <v>61186</v>
      </c>
      <c r="U9" s="352">
        <f t="shared" si="1"/>
        <v>61664</v>
      </c>
      <c r="V9" s="352">
        <f>+V10+V14+V16</f>
        <v>67203</v>
      </c>
      <c r="W9" s="352">
        <f>+W10+W14+W16</f>
        <v>67979</v>
      </c>
      <c r="X9" s="352">
        <f>+X10+X14+X16</f>
        <v>64964</v>
      </c>
      <c r="Y9" s="1058">
        <f t="shared" si="1"/>
        <v>59130</v>
      </c>
      <c r="Z9" s="732"/>
      <c r="AA9" s="732"/>
    </row>
    <row r="10" spans="1:25" ht="18" customHeight="1">
      <c r="A10" s="184" t="s">
        <v>103</v>
      </c>
      <c r="B10" s="172">
        <v>18494</v>
      </c>
      <c r="C10" s="172">
        <v>21416</v>
      </c>
      <c r="D10" s="172">
        <v>24507</v>
      </c>
      <c r="E10" s="172">
        <v>22848</v>
      </c>
      <c r="F10" s="172">
        <v>21357</v>
      </c>
      <c r="G10" s="172">
        <v>22220</v>
      </c>
      <c r="H10" s="172">
        <v>23386</v>
      </c>
      <c r="I10" s="172">
        <v>23712</v>
      </c>
      <c r="J10" s="172">
        <v>24020</v>
      </c>
      <c r="K10" s="172">
        <v>25149</v>
      </c>
      <c r="L10" s="172">
        <v>25219</v>
      </c>
      <c r="M10" s="172">
        <v>26576</v>
      </c>
      <c r="N10" s="172">
        <f>14014+11859</f>
        <v>25873</v>
      </c>
      <c r="O10" s="172">
        <v>26806</v>
      </c>
      <c r="P10" s="304">
        <v>27280</v>
      </c>
      <c r="Q10" s="304">
        <v>28222</v>
      </c>
      <c r="R10" s="342">
        <f aca="true" t="shared" si="2" ref="R10:Y10">SUM(R12:R13)</f>
        <v>28157</v>
      </c>
      <c r="S10" s="304">
        <f t="shared" si="2"/>
        <v>28427</v>
      </c>
      <c r="T10" s="304">
        <f t="shared" si="2"/>
        <v>29053</v>
      </c>
      <c r="U10" s="304">
        <f t="shared" si="2"/>
        <v>29335</v>
      </c>
      <c r="V10" s="304">
        <f t="shared" si="2"/>
        <v>35694</v>
      </c>
      <c r="W10" s="304">
        <f>SUM(W12:W13)</f>
        <v>33243</v>
      </c>
      <c r="X10" s="304">
        <f>SUM(X12:X13)</f>
        <v>30735</v>
      </c>
      <c r="Y10" s="1059">
        <f t="shared" si="2"/>
        <v>27160</v>
      </c>
    </row>
    <row r="11" spans="1:26" ht="18" customHeight="1">
      <c r="A11" s="185" t="s">
        <v>69</v>
      </c>
      <c r="B11" s="180">
        <v>0.5625608305396345</v>
      </c>
      <c r="C11" s="180">
        <v>0.5557994023160254</v>
      </c>
      <c r="D11" s="180">
        <v>0.5318480434161668</v>
      </c>
      <c r="E11" s="180">
        <v>0.557267749911692</v>
      </c>
      <c r="F11" s="180">
        <v>0.5734023359604976</v>
      </c>
      <c r="G11" s="180">
        <v>0.573327850877193</v>
      </c>
      <c r="H11" s="180">
        <v>0.5735482767467716</v>
      </c>
      <c r="I11" s="180">
        <v>0.561698717948718</v>
      </c>
      <c r="J11" s="180">
        <v>0.5485845129059117</v>
      </c>
      <c r="K11" s="180">
        <v>0.5540578154200962</v>
      </c>
      <c r="L11" s="180">
        <v>0.553907767952734</v>
      </c>
      <c r="M11" s="180">
        <v>0.5518512944009633</v>
      </c>
      <c r="N11" s="180">
        <v>0.549994202450431</v>
      </c>
      <c r="O11" s="180">
        <v>0.542154741475789</v>
      </c>
      <c r="P11" s="180">
        <v>0.543828789211375</v>
      </c>
      <c r="Q11" s="180">
        <v>0.5470509098633435</v>
      </c>
      <c r="R11" s="287">
        <v>0.533</v>
      </c>
      <c r="S11" s="180">
        <v>0.5394</v>
      </c>
      <c r="T11" s="180">
        <v>0.5365</v>
      </c>
      <c r="U11" s="180">
        <v>0.538</v>
      </c>
      <c r="V11" s="180">
        <v>0.5319</v>
      </c>
      <c r="W11" s="180">
        <v>0.5319</v>
      </c>
      <c r="X11" s="180">
        <v>0.5359</v>
      </c>
      <c r="Y11" s="1060">
        <v>0.5501</v>
      </c>
      <c r="Z11" s="733"/>
    </row>
    <row r="12" spans="1:26" ht="18" customHeight="1">
      <c r="A12" s="185" t="s">
        <v>96</v>
      </c>
      <c r="B12" s="172">
        <v>9256</v>
      </c>
      <c r="C12" s="172">
        <v>11297</v>
      </c>
      <c r="D12" s="172">
        <v>13546</v>
      </c>
      <c r="E12" s="172">
        <v>13023</v>
      </c>
      <c r="F12" s="172">
        <v>11614</v>
      </c>
      <c r="G12" s="172">
        <v>12010</v>
      </c>
      <c r="H12" s="172">
        <v>12651</v>
      </c>
      <c r="I12" s="172">
        <v>12667</v>
      </c>
      <c r="J12" s="172">
        <v>12685</v>
      </c>
      <c r="K12" s="172">
        <v>13609</v>
      </c>
      <c r="L12" s="172">
        <v>13872</v>
      </c>
      <c r="M12" s="172">
        <v>14271</v>
      </c>
      <c r="N12" s="172">
        <v>14014</v>
      </c>
      <c r="O12" s="172">
        <v>14794</v>
      </c>
      <c r="P12" s="172">
        <v>15055</v>
      </c>
      <c r="Q12" s="172">
        <v>15673</v>
      </c>
      <c r="R12" s="187">
        <v>15526</v>
      </c>
      <c r="S12" s="172">
        <v>15383</v>
      </c>
      <c r="T12" s="172">
        <v>16365</v>
      </c>
      <c r="U12" s="172">
        <v>15637</v>
      </c>
      <c r="V12" s="172">
        <v>17943</v>
      </c>
      <c r="W12" s="172">
        <v>18102</v>
      </c>
      <c r="X12" s="172">
        <v>16166</v>
      </c>
      <c r="Y12" s="1061">
        <v>14481</v>
      </c>
      <c r="Z12" s="733"/>
    </row>
    <row r="13" spans="1:26" ht="18" customHeight="1">
      <c r="A13" s="185" t="s">
        <v>303</v>
      </c>
      <c r="B13" s="172">
        <v>9238</v>
      </c>
      <c r="C13" s="172">
        <v>10119</v>
      </c>
      <c r="D13" s="172">
        <v>10961</v>
      </c>
      <c r="E13" s="172">
        <v>9825</v>
      </c>
      <c r="F13" s="172">
        <v>9743</v>
      </c>
      <c r="G13" s="172">
        <v>10210</v>
      </c>
      <c r="H13" s="172">
        <v>10735</v>
      </c>
      <c r="I13" s="172">
        <v>11045</v>
      </c>
      <c r="J13" s="172">
        <v>11335</v>
      </c>
      <c r="K13" s="172">
        <v>11540</v>
      </c>
      <c r="L13" s="172">
        <v>11347</v>
      </c>
      <c r="M13" s="172">
        <v>12305</v>
      </c>
      <c r="N13" s="172">
        <v>11859</v>
      </c>
      <c r="O13" s="172">
        <v>12012</v>
      </c>
      <c r="P13" s="172">
        <v>12225</v>
      </c>
      <c r="Q13" s="172">
        <v>12549</v>
      </c>
      <c r="R13" s="187">
        <v>12631</v>
      </c>
      <c r="S13" s="172">
        <v>13044</v>
      </c>
      <c r="T13" s="172">
        <v>12688</v>
      </c>
      <c r="U13" s="172">
        <v>13698</v>
      </c>
      <c r="V13" s="172">
        <v>17751</v>
      </c>
      <c r="W13" s="172">
        <v>15141</v>
      </c>
      <c r="X13" s="172">
        <v>14569</v>
      </c>
      <c r="Y13" s="1061">
        <v>12679</v>
      </c>
      <c r="Z13" s="733"/>
    </row>
    <row r="14" spans="1:25" ht="18" customHeight="1">
      <c r="A14" s="184" t="s">
        <v>104</v>
      </c>
      <c r="B14" s="172">
        <v>803</v>
      </c>
      <c r="C14" s="172">
        <v>845</v>
      </c>
      <c r="D14" s="172">
        <v>434</v>
      </c>
      <c r="E14" s="172">
        <v>498</v>
      </c>
      <c r="F14" s="172">
        <v>472</v>
      </c>
      <c r="G14" s="172">
        <v>428</v>
      </c>
      <c r="H14" s="172">
        <v>416</v>
      </c>
      <c r="I14" s="172">
        <v>1008</v>
      </c>
      <c r="J14" s="172">
        <v>693</v>
      </c>
      <c r="K14" s="172">
        <v>118</v>
      </c>
      <c r="L14" s="172">
        <v>535</v>
      </c>
      <c r="M14" s="181">
        <v>349</v>
      </c>
      <c r="N14" s="181">
        <v>211</v>
      </c>
      <c r="O14" s="186">
        <v>85</v>
      </c>
      <c r="P14" s="186">
        <v>37</v>
      </c>
      <c r="Q14" s="186">
        <v>14</v>
      </c>
      <c r="R14" s="353">
        <v>15</v>
      </c>
      <c r="S14" s="452">
        <v>9</v>
      </c>
      <c r="T14" s="452">
        <v>7</v>
      </c>
      <c r="U14" s="452">
        <v>8</v>
      </c>
      <c r="V14" s="452">
        <v>0</v>
      </c>
      <c r="W14" s="452">
        <v>32</v>
      </c>
      <c r="X14" s="452">
        <v>8</v>
      </c>
      <c r="Y14" s="1062">
        <v>3</v>
      </c>
    </row>
    <row r="15" spans="1:25" ht="18" customHeight="1">
      <c r="A15" s="185" t="s">
        <v>69</v>
      </c>
      <c r="B15" s="180">
        <v>0.9201995012468828</v>
      </c>
      <c r="C15" s="180">
        <v>0.9053254437869822</v>
      </c>
      <c r="D15" s="180">
        <v>0.8545034642032333</v>
      </c>
      <c r="E15" s="180">
        <v>0.9096385542168675</v>
      </c>
      <c r="F15" s="180">
        <v>0.9002123142250531</v>
      </c>
      <c r="G15" s="180">
        <v>0.8967136150234741</v>
      </c>
      <c r="H15" s="180">
        <v>0.8719806763285024</v>
      </c>
      <c r="I15" s="180">
        <v>0.9394240317775571</v>
      </c>
      <c r="J15" s="180">
        <v>0.9508670520231214</v>
      </c>
      <c r="K15" s="180">
        <v>0.923728813559322</v>
      </c>
      <c r="L15" s="180">
        <v>0.9587242026266416</v>
      </c>
      <c r="M15" s="180">
        <v>0.9484240687679083</v>
      </c>
      <c r="N15" s="180">
        <v>0.8815165876777251</v>
      </c>
      <c r="O15" s="209">
        <v>0.9247311827956989</v>
      </c>
      <c r="P15" s="209">
        <v>0.918918918918919</v>
      </c>
      <c r="Q15" s="209">
        <v>0.8571428571428571</v>
      </c>
      <c r="R15" s="354">
        <v>0.667</v>
      </c>
      <c r="S15" s="453">
        <v>1</v>
      </c>
      <c r="T15" s="453">
        <v>0.8571</v>
      </c>
      <c r="U15" s="453">
        <v>0.75</v>
      </c>
      <c r="V15" s="453" t="s">
        <v>90</v>
      </c>
      <c r="W15" s="453" t="s">
        <v>90</v>
      </c>
      <c r="X15" s="453">
        <v>0.5</v>
      </c>
      <c r="Y15" s="1063">
        <v>0.3333</v>
      </c>
    </row>
    <row r="16" spans="1:27" s="7" customFormat="1" ht="18" customHeight="1">
      <c r="A16" s="341" t="s">
        <v>552</v>
      </c>
      <c r="B16" s="172">
        <v>19148</v>
      </c>
      <c r="C16" s="172">
        <v>21887</v>
      </c>
      <c r="D16" s="172">
        <v>27654</v>
      </c>
      <c r="E16" s="172">
        <v>27470</v>
      </c>
      <c r="F16" s="172">
        <v>26920</v>
      </c>
      <c r="G16" s="172">
        <v>29140</v>
      </c>
      <c r="H16" s="172">
        <v>27477</v>
      </c>
      <c r="I16" s="172">
        <v>26156</v>
      </c>
      <c r="J16" s="172">
        <v>24504</v>
      </c>
      <c r="K16" s="172">
        <v>26138</v>
      </c>
      <c r="L16" s="172">
        <v>31576</v>
      </c>
      <c r="M16" s="181">
        <v>31659</v>
      </c>
      <c r="N16" s="181">
        <v>32771</v>
      </c>
      <c r="O16" s="181">
        <v>33857</v>
      </c>
      <c r="P16" s="181">
        <v>33432</v>
      </c>
      <c r="Q16" s="181">
        <v>35110</v>
      </c>
      <c r="R16" s="182">
        <v>32974</v>
      </c>
      <c r="S16" s="452">
        <v>32032</v>
      </c>
      <c r="T16" s="452">
        <v>32126</v>
      </c>
      <c r="U16" s="452">
        <v>32321</v>
      </c>
      <c r="V16" s="452">
        <v>31509</v>
      </c>
      <c r="W16" s="452">
        <v>34704</v>
      </c>
      <c r="X16" s="452">
        <v>34221</v>
      </c>
      <c r="Y16" s="1062">
        <v>31967</v>
      </c>
      <c r="Z16" s="732"/>
      <c r="AA16" s="732"/>
    </row>
    <row r="17" spans="1:25" ht="18" customHeight="1">
      <c r="A17" s="185" t="s">
        <v>69</v>
      </c>
      <c r="B17" s="180">
        <v>0.5910277835805307</v>
      </c>
      <c r="C17" s="180">
        <v>0.573491113446338</v>
      </c>
      <c r="D17" s="180">
        <v>0.5545671512258624</v>
      </c>
      <c r="E17" s="180">
        <v>0.5394612304331998</v>
      </c>
      <c r="F17" s="180">
        <v>0.5478083209509659</v>
      </c>
      <c r="G17" s="180">
        <v>0.5635552505147563</v>
      </c>
      <c r="H17" s="180">
        <v>0.5638897987407651</v>
      </c>
      <c r="I17" s="180">
        <v>0.5714941122495795</v>
      </c>
      <c r="J17" s="180">
        <v>0.5821090434214822</v>
      </c>
      <c r="K17" s="180">
        <v>0.5891422450072691</v>
      </c>
      <c r="L17" s="180">
        <v>0.562484165188751</v>
      </c>
      <c r="M17" s="180">
        <v>0.5573454625856786</v>
      </c>
      <c r="N17" s="180">
        <v>0.553629733605932</v>
      </c>
      <c r="O17" s="209">
        <v>0.5416863625620421</v>
      </c>
      <c r="P17" s="209">
        <v>0.544627901411821</v>
      </c>
      <c r="Q17" s="209">
        <v>0.5496</v>
      </c>
      <c r="R17" s="354">
        <v>0.555</v>
      </c>
      <c r="S17" s="453">
        <v>0.55469</v>
      </c>
      <c r="T17" s="453">
        <v>0.556</v>
      </c>
      <c r="U17" s="453">
        <v>0.559</v>
      </c>
      <c r="V17" s="453">
        <v>0.5614</v>
      </c>
      <c r="W17" s="453">
        <v>0.566</v>
      </c>
      <c r="X17" s="453">
        <v>0.564</v>
      </c>
      <c r="Y17" s="1063">
        <v>0.5613</v>
      </c>
    </row>
    <row r="18" spans="2:17" ht="12.75">
      <c r="B18" s="22"/>
      <c r="C18" s="22"/>
      <c r="D18" s="22"/>
      <c r="E18" s="22"/>
      <c r="F18" s="22"/>
      <c r="G18" s="22"/>
      <c r="H18" s="22"/>
      <c r="I18" s="22"/>
      <c r="J18" s="22"/>
      <c r="K18" s="23"/>
      <c r="L18" s="23"/>
      <c r="M18" s="23"/>
      <c r="N18" s="23"/>
      <c r="O18" s="23"/>
      <c r="P18" s="23"/>
      <c r="Q18" s="23"/>
    </row>
    <row r="19" spans="1:27" s="7" customFormat="1" ht="12.75">
      <c r="A19" s="6" t="s">
        <v>699</v>
      </c>
      <c r="B19" s="24"/>
      <c r="C19" s="24"/>
      <c r="D19" s="12"/>
      <c r="E19" s="24"/>
      <c r="F19" s="12"/>
      <c r="G19" s="12"/>
      <c r="Y19" s="484"/>
      <c r="Z19" s="732"/>
      <c r="AA19" s="732"/>
    </row>
    <row r="20" spans="1:27" s="7" customFormat="1" ht="12.75">
      <c r="A20" s="6" t="s">
        <v>105</v>
      </c>
      <c r="B20" s="24"/>
      <c r="C20" s="24"/>
      <c r="D20" s="24"/>
      <c r="E20" s="12"/>
      <c r="F20" s="12"/>
      <c r="G20" s="12"/>
      <c r="H20" s="24"/>
      <c r="I20" s="24"/>
      <c r="J20" s="24"/>
      <c r="K20" s="24"/>
      <c r="L20" s="24"/>
      <c r="M20" s="24"/>
      <c r="N20" s="24"/>
      <c r="O20" s="24"/>
      <c r="P20" s="24"/>
      <c r="Q20" s="24"/>
      <c r="Y20" s="484"/>
      <c r="Z20" s="732"/>
      <c r="AA20" s="745"/>
    </row>
    <row r="21" spans="1:17" ht="12.75">
      <c r="A21" s="6" t="s">
        <v>691</v>
      </c>
      <c r="B21" s="25"/>
      <c r="C21" s="25"/>
      <c r="D21" s="25"/>
      <c r="E21" s="25"/>
      <c r="F21" s="25"/>
      <c r="G21" s="25"/>
      <c r="H21" s="12"/>
      <c r="I21" s="12"/>
      <c r="J21" s="12"/>
      <c r="K21" s="12"/>
      <c r="L21" s="12"/>
      <c r="M21" s="12"/>
      <c r="N21" s="12"/>
      <c r="O21" s="12"/>
      <c r="P21" s="12"/>
      <c r="Q21" s="12"/>
    </row>
    <row r="22" spans="1:17" ht="12.75">
      <c r="A22" s="6"/>
      <c r="B22" s="25"/>
      <c r="C22" s="25"/>
      <c r="D22" s="25"/>
      <c r="E22" s="25"/>
      <c r="F22" s="25"/>
      <c r="G22" s="25"/>
      <c r="H22" s="12"/>
      <c r="I22" s="12"/>
      <c r="J22" s="12"/>
      <c r="K22" s="12"/>
      <c r="L22" s="12"/>
      <c r="M22" s="12"/>
      <c r="N22" s="12"/>
      <c r="O22" s="12"/>
      <c r="P22" s="12"/>
      <c r="Q22" s="12"/>
    </row>
    <row r="23" spans="1:17" ht="12.75">
      <c r="A23" s="13" t="s">
        <v>59</v>
      </c>
      <c r="B23" s="26"/>
      <c r="C23" s="26"/>
      <c r="D23" s="26"/>
      <c r="E23" s="26"/>
      <c r="F23" s="26"/>
      <c r="G23" s="26"/>
      <c r="H23" s="26"/>
      <c r="I23" s="26"/>
      <c r="J23" s="26"/>
      <c r="K23" s="26"/>
      <c r="L23" s="26"/>
      <c r="M23" s="26"/>
      <c r="N23" s="26"/>
      <c r="O23" s="26"/>
      <c r="P23" s="26"/>
      <c r="Q23" s="26"/>
    </row>
    <row r="24" spans="1:26" s="7" customFormat="1" ht="12.75">
      <c r="A24" s="1119" t="s">
        <v>849</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732"/>
    </row>
    <row r="25" spans="1:26" s="7" customFormat="1" ht="12.75">
      <c r="A25" s="1119" t="s">
        <v>850</v>
      </c>
      <c r="B25" s="1119"/>
      <c r="C25" s="1119"/>
      <c r="D25" s="1119"/>
      <c r="E25" s="1119"/>
      <c r="F25" s="1119"/>
      <c r="G25" s="1119"/>
      <c r="H25" s="1119"/>
      <c r="I25" s="1119"/>
      <c r="J25" s="1119"/>
      <c r="K25" s="1119"/>
      <c r="L25" s="1119"/>
      <c r="M25" s="1119"/>
      <c r="N25" s="1119"/>
      <c r="O25" s="1119"/>
      <c r="P25" s="1119"/>
      <c r="Q25" s="1119"/>
      <c r="R25" s="1119"/>
      <c r="S25" s="1119"/>
      <c r="T25" s="1119"/>
      <c r="U25" s="1119"/>
      <c r="V25" s="1119"/>
      <c r="W25" s="1119"/>
      <c r="X25" s="1119"/>
      <c r="Y25" s="1119"/>
      <c r="Z25" s="732"/>
    </row>
    <row r="26" spans="2:26" s="7" customFormat="1" ht="12.75">
      <c r="B26" s="299"/>
      <c r="C26" s="299"/>
      <c r="D26" s="299"/>
      <c r="E26" s="299"/>
      <c r="F26" s="299"/>
      <c r="G26" s="299"/>
      <c r="H26" s="299"/>
      <c r="I26" s="299"/>
      <c r="J26" s="299"/>
      <c r="K26" s="299"/>
      <c r="L26" s="299"/>
      <c r="M26" s="299"/>
      <c r="N26" s="299"/>
      <c r="O26" s="299"/>
      <c r="P26" s="299"/>
      <c r="Q26" s="299"/>
      <c r="Y26" s="484"/>
      <c r="Z26" s="732"/>
    </row>
    <row r="28" spans="25:26" s="7" customFormat="1" ht="12.75">
      <c r="Y28" s="484"/>
      <c r="Z28" s="732"/>
    </row>
    <row r="29" spans="25:26" s="7" customFormat="1" ht="12.75">
      <c r="Y29" s="484"/>
      <c r="Z29" s="732"/>
    </row>
    <row r="30" s="7" customFormat="1" ht="12.75">
      <c r="Y30" s="484"/>
    </row>
    <row r="33" spans="1:24" ht="12.75">
      <c r="A33" s="732"/>
      <c r="B33" s="732"/>
      <c r="C33" s="732"/>
      <c r="D33" s="732"/>
      <c r="E33" s="732"/>
      <c r="F33" s="732"/>
      <c r="G33" s="732"/>
      <c r="H33" s="732"/>
      <c r="I33" s="732"/>
      <c r="J33" s="732"/>
      <c r="K33" s="732"/>
      <c r="L33" s="732"/>
      <c r="M33" s="732"/>
      <c r="N33" s="732"/>
      <c r="O33" s="732"/>
      <c r="P33" s="732"/>
      <c r="Q33" s="732"/>
      <c r="R33" s="732"/>
      <c r="S33" s="732"/>
      <c r="T33" s="732"/>
      <c r="U33" s="732"/>
      <c r="V33" s="732"/>
      <c r="W33" s="732"/>
      <c r="X33" s="732"/>
    </row>
    <row r="34" s="7" customFormat="1" ht="12.75">
      <c r="Y34" s="484"/>
    </row>
    <row r="36" s="7" customFormat="1" ht="12.75">
      <c r="Y36" s="484"/>
    </row>
    <row r="39" s="732" customFormat="1" ht="12.75">
      <c r="Y39" s="484"/>
    </row>
    <row r="40" s="732" customFormat="1" ht="12.75">
      <c r="Y40" s="484"/>
    </row>
  </sheetData>
  <sheetProtection/>
  <mergeCells count="6">
    <mergeCell ref="A24:Y24"/>
    <mergeCell ref="A25:Y25"/>
    <mergeCell ref="A5:Y5"/>
    <mergeCell ref="A6:Y6"/>
    <mergeCell ref="A1:Y1"/>
    <mergeCell ref="A3:Y3"/>
  </mergeCells>
  <printOptions horizontalCentered="1"/>
  <pageMargins left="0.7874015748031497" right="0.7874015748031497" top="0.984251968503937" bottom="0.984251968503937" header="0" footer="0"/>
  <pageSetup fitToHeight="1" fitToWidth="1" horizontalDpi="600" verticalDpi="600" orientation="landscape" scale="44" r:id="rId1"/>
  <ignoredErrors>
    <ignoredError sqref="Y10 R10:T1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Beatriz Reyes R.</dc:creator>
  <cp:keywords/>
  <dc:description/>
  <cp:lastModifiedBy>Ana</cp:lastModifiedBy>
  <cp:lastPrinted>2022-05-16T19:36:39Z</cp:lastPrinted>
  <dcterms:created xsi:type="dcterms:W3CDTF">2010-12-02T20:05:56Z</dcterms:created>
  <dcterms:modified xsi:type="dcterms:W3CDTF">2024-03-01T20:39:04Z</dcterms:modified>
  <cp:category/>
  <cp:version/>
  <cp:contentType/>
  <cp:contentStatus/>
</cp:coreProperties>
</file>